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oxfk\Documents\Construction Letting\"/>
    </mc:Choice>
  </mc:AlternateContent>
  <workbookProtection workbookAlgorithmName="SHA-512" workbookHashValue="x2rpfVlKb60qmJ1Y0aYzYFG9/n7DlyKtlwY0NbdOWAb4swz8BEh9SlBOI3Tw2dIiTQg8g7ZCHi+mdUlNCZ7pIQ==" workbookSaltValue="YS2EptkzqYIfvYzmI/N0zw==" workbookSpinCount="100000" lockStructure="1"/>
  <bookViews>
    <workbookView xWindow="28680" yWindow="-120" windowWidth="29040" windowHeight="16440" tabRatio="845"/>
  </bookViews>
  <sheets>
    <sheet name="Index Dates and Adjustments" sheetId="1" r:id="rId1"/>
    <sheet name="Maintain Indexes" sheetId="2" r:id="rId2"/>
    <sheet name="Fuel Charts" sheetId="3" r:id="rId3"/>
    <sheet name="AC Binder Chart" sheetId="4" r:id="rId4"/>
    <sheet name="Bit. Surf. Chart" sheetId="5" r:id="rId5"/>
  </sheets>
  <definedNames>
    <definedName name="AsphaltBinderBase">'Index Dates and Adjustments'!$C$8</definedName>
    <definedName name="AsphaltBinderChange">'AC Binder Chart'!$E$6</definedName>
    <definedName name="AsphaltBinderCurrent">'Index Dates and Adjustments'!$I$8</definedName>
    <definedName name="DieselBase">'Index Dates and Adjustments'!$D$8</definedName>
    <definedName name="DieselChange">'Fuel Charts'!$E$7</definedName>
    <definedName name="DieselCurrent">'Index Dates and Adjustments'!$J$8</definedName>
    <definedName name="MaintainIndexes">'Maintain Indexes'!$B$4:$E$527</definedName>
    <definedName name="UnleadedBase">'Index Dates and Adjustments'!$E$8</definedName>
    <definedName name="UnleadedChange">'Fuel Charts'!$E$62</definedName>
    <definedName name="UnleadedCurrent">'Index Dates and Adjustments'!$K$8</definedName>
    <definedName name="Validdates">'Maintain Indexes'!$B$4:$B$527</definedName>
  </definedNames>
  <calcPr calcId="162913"/>
</workbook>
</file>

<file path=xl/calcChain.xml><?xml version="1.0" encoding="utf-8"?>
<calcChain xmlns="http://schemas.openxmlformats.org/spreadsheetml/2006/main">
  <c r="C8" i="1" l="1"/>
  <c r="E35" i="4" l="1"/>
  <c r="I8" i="1"/>
  <c r="E4" i="5" s="1"/>
  <c r="E10" i="5"/>
  <c r="E11" i="5"/>
  <c r="E12" i="5"/>
  <c r="E13" i="5"/>
  <c r="E9" i="5"/>
  <c r="E7" i="5"/>
  <c r="E17" i="5"/>
  <c r="E16" i="5"/>
  <c r="E15" i="5"/>
  <c r="D8" i="1"/>
  <c r="E50" i="3" s="1"/>
  <c r="E8" i="1"/>
  <c r="G78" i="3" s="1"/>
  <c r="K8" i="1"/>
  <c r="E61" i="3" s="1"/>
  <c r="J8" i="1"/>
  <c r="E6" i="3" s="1"/>
  <c r="E85" i="4" l="1"/>
  <c r="E90" i="4"/>
  <c r="E16" i="4"/>
  <c r="E97" i="4"/>
  <c r="F79" i="4"/>
  <c r="F33" i="4"/>
  <c r="F45" i="4"/>
  <c r="E41" i="4"/>
  <c r="F89" i="3"/>
  <c r="F54" i="4"/>
  <c r="E3" i="5"/>
  <c r="G90" i="3"/>
  <c r="E87" i="4"/>
  <c r="F68" i="4"/>
  <c r="E81" i="4"/>
  <c r="E105" i="4"/>
  <c r="F96" i="4"/>
  <c r="F22" i="4"/>
  <c r="E84" i="4"/>
  <c r="F40" i="4"/>
  <c r="G65" i="4"/>
  <c r="G91" i="4"/>
  <c r="G37" i="4"/>
  <c r="F26" i="4"/>
  <c r="F63" i="4"/>
  <c r="G60" i="4"/>
  <c r="G84" i="4"/>
  <c r="F91" i="4"/>
  <c r="F88" i="4"/>
  <c r="G87" i="4"/>
  <c r="E95" i="4"/>
  <c r="F19" i="4"/>
  <c r="G42" i="4"/>
  <c r="E93" i="4"/>
  <c r="G61" i="4"/>
  <c r="G62" i="4"/>
  <c r="G82" i="4"/>
  <c r="G27" i="4"/>
  <c r="F75" i="4"/>
  <c r="F28" i="4"/>
  <c r="E74" i="4"/>
  <c r="F82" i="4"/>
  <c r="G36" i="4"/>
  <c r="E49" i="4"/>
  <c r="G57" i="4"/>
  <c r="G50" i="3"/>
  <c r="G43" i="3"/>
  <c r="G42" i="3"/>
  <c r="F30" i="3"/>
  <c r="G83" i="3"/>
  <c r="F48" i="3"/>
  <c r="E82" i="4"/>
  <c r="F15" i="4"/>
  <c r="F97" i="4"/>
  <c r="G103" i="4"/>
  <c r="G43" i="4"/>
  <c r="F38" i="4"/>
  <c r="F78" i="4"/>
  <c r="G12" i="4"/>
  <c r="E12" i="4"/>
  <c r="E51" i="4"/>
  <c r="G78" i="4"/>
  <c r="F50" i="4"/>
  <c r="G72" i="3"/>
  <c r="E74" i="3"/>
  <c r="E58" i="4"/>
  <c r="F41" i="4"/>
  <c r="E61" i="4"/>
  <c r="F46" i="4"/>
  <c r="F72" i="4"/>
  <c r="E20" i="4"/>
  <c r="E13" i="4"/>
  <c r="G56" i="4"/>
  <c r="F71" i="4"/>
  <c r="G29" i="4"/>
  <c r="G75" i="4"/>
  <c r="E48" i="4"/>
  <c r="G63" i="4"/>
  <c r="G50" i="4"/>
  <c r="E65" i="4"/>
  <c r="E67" i="4"/>
  <c r="G21" i="4"/>
  <c r="G39" i="4"/>
  <c r="F101" i="4"/>
  <c r="E103" i="4"/>
  <c r="G15" i="4"/>
  <c r="E38" i="4"/>
  <c r="E15" i="4"/>
  <c r="G35" i="4"/>
  <c r="G92" i="4"/>
  <c r="E23" i="4"/>
  <c r="G20" i="4"/>
  <c r="E68" i="4"/>
  <c r="G51" i="4"/>
  <c r="E70" i="4"/>
  <c r="E100" i="4"/>
  <c r="E31" i="4"/>
  <c r="F67" i="4"/>
  <c r="E27" i="4"/>
  <c r="G16" i="4"/>
  <c r="G59" i="4"/>
  <c r="G85" i="4"/>
  <c r="E44" i="4"/>
  <c r="G98" i="4"/>
  <c r="G30" i="4"/>
  <c r="F74" i="4"/>
  <c r="E40" i="4"/>
  <c r="G102" i="4"/>
  <c r="F73" i="4"/>
  <c r="F52" i="4"/>
  <c r="E57" i="4"/>
  <c r="F84" i="4"/>
  <c r="E24" i="4"/>
  <c r="E30" i="4"/>
  <c r="F60" i="4"/>
  <c r="F90" i="4"/>
  <c r="G76" i="4"/>
  <c r="F25" i="4"/>
  <c r="F51" i="4"/>
  <c r="E72" i="4"/>
  <c r="F59" i="4"/>
  <c r="F29" i="4"/>
  <c r="G80" i="4"/>
  <c r="G33" i="4"/>
  <c r="F53" i="4"/>
  <c r="G97" i="4"/>
  <c r="F48" i="4"/>
  <c r="F92" i="4"/>
  <c r="F11" i="4"/>
  <c r="E32" i="4"/>
  <c r="E71" i="4"/>
  <c r="E21" i="4"/>
  <c r="E28" i="4"/>
  <c r="G55" i="4"/>
  <c r="E33" i="4"/>
  <c r="F86" i="4"/>
  <c r="G67" i="4"/>
  <c r="G72" i="4"/>
  <c r="G49" i="4"/>
  <c r="F21" i="4"/>
  <c r="F104" i="4"/>
  <c r="F43" i="4"/>
  <c r="G83" i="4"/>
  <c r="F65" i="4"/>
  <c r="G34" i="4"/>
  <c r="E63" i="4"/>
  <c r="E98" i="4"/>
  <c r="F81" i="3"/>
  <c r="G95" i="3"/>
  <c r="E22" i="4"/>
  <c r="E101" i="4"/>
  <c r="G14" i="4"/>
  <c r="G28" i="4"/>
  <c r="E26" i="4"/>
  <c r="F16" i="4"/>
  <c r="E45" i="4"/>
  <c r="G70" i="4"/>
  <c r="G104" i="4"/>
  <c r="G38" i="4"/>
  <c r="F17" i="4"/>
  <c r="F35" i="4"/>
  <c r="E43" i="4"/>
  <c r="E75" i="4"/>
  <c r="F42" i="4"/>
  <c r="F103" i="4"/>
  <c r="F61" i="4"/>
  <c r="E47" i="4"/>
  <c r="G89" i="4"/>
  <c r="F76" i="4"/>
  <c r="F27" i="4"/>
  <c r="G79" i="4"/>
  <c r="G100" i="4"/>
  <c r="F80" i="4"/>
  <c r="E56" i="4"/>
  <c r="E78" i="4"/>
  <c r="F81" i="4"/>
  <c r="E92" i="3"/>
  <c r="E66" i="4"/>
  <c r="E83" i="3"/>
  <c r="F32" i="4"/>
  <c r="E53" i="4"/>
  <c r="F36" i="4"/>
  <c r="F89" i="4"/>
  <c r="G45" i="4"/>
  <c r="F69" i="4"/>
  <c r="E50" i="4"/>
  <c r="E29" i="4"/>
  <c r="F99" i="4"/>
  <c r="F70" i="4"/>
  <c r="E11" i="4"/>
  <c r="F14" i="4"/>
  <c r="G22" i="4"/>
  <c r="G73" i="4"/>
  <c r="F58" i="4"/>
  <c r="E19" i="4"/>
  <c r="G71" i="4"/>
  <c r="G44" i="4"/>
  <c r="F93" i="4"/>
  <c r="F55" i="4"/>
  <c r="F18" i="4"/>
  <c r="E80" i="4"/>
  <c r="E59" i="4"/>
  <c r="G68" i="4"/>
  <c r="E37" i="4"/>
  <c r="G101" i="4"/>
  <c r="F94" i="4"/>
  <c r="E35" i="3"/>
  <c r="G16" i="3"/>
  <c r="F42" i="3"/>
  <c r="G15" i="3"/>
  <c r="G40" i="3"/>
  <c r="G51" i="3"/>
  <c r="E18" i="3"/>
  <c r="G19" i="3"/>
  <c r="E27" i="3"/>
  <c r="G33" i="3"/>
  <c r="G49" i="3"/>
  <c r="E14" i="3"/>
  <c r="F12" i="3"/>
  <c r="G25" i="3"/>
  <c r="G29" i="3"/>
  <c r="G13" i="3"/>
  <c r="G35" i="3"/>
  <c r="F31" i="3"/>
  <c r="E13" i="3"/>
  <c r="F23" i="3"/>
  <c r="G22" i="3"/>
  <c r="E38" i="3"/>
  <c r="E29" i="3"/>
  <c r="G46" i="3"/>
  <c r="F82" i="3"/>
  <c r="E102" i="3"/>
  <c r="F88" i="3"/>
  <c r="G75" i="3"/>
  <c r="F67" i="3"/>
  <c r="F97" i="3"/>
  <c r="F73" i="3"/>
  <c r="F95" i="3"/>
  <c r="E88" i="3"/>
  <c r="E82" i="3"/>
  <c r="F106" i="3"/>
  <c r="F76" i="3"/>
  <c r="G80" i="3"/>
  <c r="E98" i="3"/>
  <c r="F69" i="3"/>
  <c r="G99" i="3"/>
  <c r="G95" i="4"/>
  <c r="E92" i="4"/>
  <c r="G54" i="4"/>
  <c r="E25" i="4"/>
  <c r="F37" i="4"/>
  <c r="G32" i="4"/>
  <c r="E73" i="4"/>
  <c r="G46" i="4"/>
  <c r="G24" i="4"/>
  <c r="F79" i="3"/>
  <c r="G77" i="3"/>
  <c r="G92" i="3"/>
  <c r="G103" i="3"/>
  <c r="F92" i="3"/>
  <c r="F86" i="3"/>
  <c r="G67" i="3"/>
  <c r="F102" i="3"/>
  <c r="E73" i="3"/>
  <c r="E94" i="3"/>
  <c r="E91" i="3"/>
  <c r="E86" i="3"/>
  <c r="F94" i="3"/>
  <c r="G93" i="3"/>
  <c r="G97" i="3"/>
  <c r="F75" i="3"/>
  <c r="G84" i="3"/>
  <c r="F78" i="3"/>
  <c r="G100" i="3"/>
  <c r="E95" i="3"/>
  <c r="G89" i="3"/>
  <c r="F72" i="3"/>
  <c r="E89" i="3"/>
  <c r="G71" i="3"/>
  <c r="F91" i="3"/>
  <c r="G76" i="3"/>
  <c r="E14" i="4"/>
  <c r="G47" i="4"/>
  <c r="G77" i="4"/>
  <c r="G104" i="3"/>
  <c r="E79" i="3"/>
  <c r="G85" i="3"/>
  <c r="E15" i="3"/>
  <c r="E12" i="3"/>
  <c r="E5" i="3"/>
  <c r="F37" i="3"/>
  <c r="G45" i="3"/>
  <c r="G24" i="3"/>
  <c r="G27" i="3"/>
  <c r="F19" i="3"/>
  <c r="E22" i="3"/>
  <c r="G44" i="3"/>
  <c r="E41" i="3"/>
  <c r="F39" i="3"/>
  <c r="F21" i="3"/>
  <c r="F26" i="3"/>
  <c r="E36" i="3"/>
  <c r="F13" i="3"/>
  <c r="F27" i="3"/>
  <c r="F49" i="3"/>
  <c r="F18" i="3"/>
  <c r="F20" i="3"/>
  <c r="G31" i="3"/>
  <c r="F29" i="3"/>
  <c r="F38" i="3"/>
  <c r="E33" i="3"/>
  <c r="F40" i="3"/>
  <c r="G20" i="3"/>
  <c r="G12" i="3"/>
  <c r="E51" i="3"/>
  <c r="G34" i="3"/>
  <c r="G28" i="3"/>
  <c r="E48" i="3"/>
  <c r="F33" i="3"/>
  <c r="E28" i="3"/>
  <c r="E42" i="3"/>
  <c r="F14" i="3"/>
  <c r="E37" i="3"/>
  <c r="F24" i="3"/>
  <c r="E34" i="3"/>
  <c r="E17" i="3"/>
  <c r="F44" i="3"/>
  <c r="F47" i="3"/>
  <c r="F34" i="3"/>
  <c r="G47" i="3"/>
  <c r="G37" i="3"/>
  <c r="G23" i="3"/>
  <c r="F25" i="3"/>
  <c r="G39" i="3"/>
  <c r="F35" i="3"/>
  <c r="G17" i="3"/>
  <c r="F45" i="3"/>
  <c r="E44" i="3"/>
  <c r="F32" i="3"/>
  <c r="G21" i="3"/>
  <c r="G41" i="3"/>
  <c r="F15" i="3"/>
  <c r="G36" i="3"/>
  <c r="G18" i="3"/>
  <c r="E43" i="3"/>
  <c r="E25" i="3"/>
  <c r="E39" i="3"/>
  <c r="E49" i="3"/>
  <c r="E46" i="3"/>
  <c r="E16" i="3"/>
  <c r="E47" i="3"/>
  <c r="E21" i="3"/>
  <c r="E31" i="3"/>
  <c r="F46" i="3"/>
  <c r="G26" i="3"/>
  <c r="E19" i="3"/>
  <c r="E24" i="3"/>
  <c r="G32" i="3"/>
  <c r="F17" i="3"/>
  <c r="G38" i="3"/>
  <c r="E23" i="3"/>
  <c r="E20" i="3"/>
  <c r="F51" i="3"/>
  <c r="F43" i="3"/>
  <c r="F36" i="3"/>
  <c r="F41" i="3"/>
  <c r="E40" i="3"/>
  <c r="G48" i="3"/>
  <c r="E30" i="3"/>
  <c r="F16" i="3"/>
  <c r="E26" i="3"/>
  <c r="F50" i="3"/>
  <c r="G14" i="3"/>
  <c r="F22" i="3"/>
  <c r="F28" i="3"/>
  <c r="E32" i="3"/>
  <c r="E45" i="3"/>
  <c r="G30" i="3"/>
  <c r="E5" i="4"/>
  <c r="G81" i="3"/>
  <c r="F101" i="3"/>
  <c r="G74" i="3"/>
  <c r="F90" i="3"/>
  <c r="G73" i="3"/>
  <c r="E71" i="3"/>
  <c r="F77" i="4"/>
  <c r="G48" i="4"/>
  <c r="F56" i="4"/>
  <c r="G18" i="4"/>
  <c r="G11" i="4"/>
  <c r="G40" i="4"/>
  <c r="G88" i="4"/>
  <c r="E60" i="4"/>
  <c r="G17" i="4"/>
  <c r="E46" i="4"/>
  <c r="E94" i="4"/>
  <c r="G66" i="4"/>
  <c r="E83" i="4"/>
  <c r="F39" i="4"/>
  <c r="E39" i="4"/>
  <c r="F100" i="4"/>
  <c r="E104" i="4"/>
  <c r="F12" i="4"/>
  <c r="E54" i="4"/>
  <c r="F64" i="4"/>
  <c r="E62" i="4"/>
  <c r="F85" i="4"/>
  <c r="E102" i="4"/>
  <c r="E55" i="4"/>
  <c r="E89" i="4"/>
  <c r="F20" i="4"/>
  <c r="E4" i="4"/>
  <c r="E77" i="4"/>
  <c r="G94" i="4"/>
  <c r="G93" i="4"/>
  <c r="G25" i="4"/>
  <c r="F57" i="4"/>
  <c r="E99" i="4"/>
  <c r="G26" i="4"/>
  <c r="F95" i="4"/>
  <c r="F87" i="4"/>
  <c r="E69" i="4"/>
  <c r="F66" i="4"/>
  <c r="F34" i="4"/>
  <c r="F30" i="4"/>
  <c r="E36" i="4"/>
  <c r="G86" i="4"/>
  <c r="E17" i="4"/>
  <c r="G23" i="4"/>
  <c r="G31" i="4"/>
  <c r="F49" i="4"/>
  <c r="F102" i="4"/>
  <c r="E34" i="4"/>
  <c r="F13" i="4"/>
  <c r="G64" i="4"/>
  <c r="E64" i="4"/>
  <c r="G13" i="4"/>
  <c r="G69" i="4"/>
  <c r="G81" i="4"/>
  <c r="E52" i="4"/>
  <c r="E18" i="4"/>
  <c r="F31" i="4"/>
  <c r="F62" i="4"/>
  <c r="E42" i="4"/>
  <c r="F83" i="4"/>
  <c r="E96" i="4"/>
  <c r="G52" i="4"/>
  <c r="G90" i="4"/>
  <c r="G19" i="4"/>
  <c r="F24" i="4"/>
  <c r="G105" i="4"/>
  <c r="F98" i="4"/>
  <c r="G41" i="4"/>
  <c r="G99" i="4"/>
  <c r="E86" i="4"/>
  <c r="G58" i="4"/>
  <c r="F105" i="4"/>
  <c r="G74" i="4"/>
  <c r="E76" i="4"/>
  <c r="G53" i="4"/>
  <c r="F44" i="4"/>
  <c r="F23" i="4"/>
  <c r="E88" i="4"/>
  <c r="G96" i="4"/>
  <c r="F47" i="4"/>
  <c r="E79" i="4"/>
  <c r="E91" i="4"/>
  <c r="G96" i="3"/>
  <c r="E97" i="3"/>
  <c r="G87" i="3"/>
  <c r="E104" i="3"/>
  <c r="E99" i="3"/>
  <c r="G106" i="3"/>
  <c r="E101" i="3"/>
  <c r="E70" i="3"/>
  <c r="E80" i="3"/>
  <c r="F71" i="3"/>
  <c r="E93" i="3"/>
  <c r="G82" i="3"/>
  <c r="G70" i="3"/>
  <c r="F103" i="3"/>
  <c r="G101" i="3"/>
  <c r="F83" i="3"/>
  <c r="G91" i="3"/>
  <c r="F99" i="3"/>
  <c r="F80" i="3"/>
  <c r="G68" i="3"/>
  <c r="F77" i="3"/>
  <c r="F68" i="3"/>
  <c r="E87" i="3"/>
  <c r="E90" i="3"/>
  <c r="E68" i="3"/>
  <c r="F105" i="3"/>
  <c r="F74" i="3"/>
  <c r="F70" i="3"/>
  <c r="E103" i="3"/>
  <c r="E96" i="3"/>
  <c r="G69" i="3"/>
  <c r="E76" i="3"/>
  <c r="G98" i="3"/>
  <c r="F85" i="3"/>
  <c r="G102" i="3"/>
  <c r="E60" i="3"/>
  <c r="E72" i="3"/>
  <c r="E78" i="3"/>
  <c r="G105" i="3"/>
  <c r="F100" i="3"/>
  <c r="G94" i="3"/>
  <c r="E84" i="3"/>
  <c r="E100" i="3"/>
  <c r="F104" i="3"/>
  <c r="G79" i="3"/>
  <c r="F93" i="3"/>
  <c r="F96" i="3"/>
  <c r="F98" i="3"/>
  <c r="F87" i="3"/>
  <c r="E105" i="3"/>
  <c r="G88" i="3"/>
  <c r="F84" i="3"/>
  <c r="E81" i="3"/>
  <c r="E69" i="3"/>
  <c r="G86" i="3"/>
  <c r="E75" i="3"/>
  <c r="E67" i="3"/>
  <c r="E85" i="3"/>
  <c r="E77" i="3"/>
  <c r="E106" i="3"/>
  <c r="E7" i="3" l="1"/>
  <c r="I30" i="1" s="1"/>
  <c r="E6" i="4"/>
  <c r="I44" i="1" s="1"/>
  <c r="E62" i="3"/>
  <c r="J28" i="1" s="1"/>
  <c r="I40" i="1" l="1"/>
  <c r="F16" i="5"/>
  <c r="F11" i="5"/>
  <c r="F10" i="5"/>
  <c r="I24" i="1"/>
  <c r="J29" i="1"/>
  <c r="I17" i="1"/>
  <c r="I28" i="1"/>
  <c r="K28" i="1" s="1"/>
  <c r="I26" i="1"/>
  <c r="I21" i="1"/>
  <c r="I13" i="1"/>
  <c r="I41" i="1"/>
  <c r="I49" i="1"/>
  <c r="F12" i="5"/>
  <c r="I54" i="1"/>
  <c r="I22" i="1"/>
  <c r="I23" i="1"/>
  <c r="I19" i="1"/>
  <c r="I18" i="1"/>
  <c r="I20" i="1"/>
  <c r="I38" i="1"/>
  <c r="I16" i="1"/>
  <c r="I27" i="1"/>
  <c r="I14" i="1"/>
  <c r="I25" i="1"/>
  <c r="I15" i="1"/>
  <c r="I29" i="1"/>
  <c r="J22" i="1"/>
  <c r="I47" i="1"/>
  <c r="I43" i="1"/>
  <c r="F13" i="5"/>
  <c r="I35" i="1"/>
  <c r="I36" i="1"/>
  <c r="I39" i="1"/>
  <c r="I46" i="1"/>
  <c r="I50" i="1"/>
  <c r="I51" i="1"/>
  <c r="F7" i="5"/>
  <c r="F17" i="5"/>
  <c r="I48" i="1"/>
  <c r="I52" i="1"/>
  <c r="I42" i="1"/>
  <c r="F15" i="5"/>
  <c r="I37" i="1"/>
  <c r="F9" i="5"/>
  <c r="I45" i="1"/>
  <c r="I53" i="1"/>
  <c r="J23" i="1"/>
  <c r="J20" i="1"/>
  <c r="J14" i="1"/>
  <c r="J21" i="1"/>
  <c r="J19" i="1"/>
  <c r="J26" i="1"/>
  <c r="J30" i="1"/>
  <c r="K30" i="1" s="1"/>
  <c r="J27" i="1"/>
  <c r="J13" i="1"/>
  <c r="J24" i="1"/>
  <c r="J16" i="1"/>
  <c r="J15" i="1"/>
  <c r="J18" i="1"/>
  <c r="J25" i="1"/>
  <c r="J17" i="1"/>
  <c r="K17" i="1" l="1"/>
  <c r="K22" i="1"/>
  <c r="K18" i="1"/>
  <c r="K13" i="1"/>
  <c r="K24" i="1"/>
  <c r="K15" i="1"/>
  <c r="K14" i="1"/>
  <c r="K25" i="1"/>
  <c r="K21" i="1"/>
  <c r="K27" i="1"/>
  <c r="K26" i="1"/>
  <c r="K23" i="1"/>
  <c r="K29" i="1"/>
  <c r="K20" i="1"/>
  <c r="K16" i="1"/>
  <c r="K19" i="1"/>
</calcChain>
</file>

<file path=xl/sharedStrings.xml><?xml version="1.0" encoding="utf-8"?>
<sst xmlns="http://schemas.openxmlformats.org/spreadsheetml/2006/main" count="158" uniqueCount="93">
  <si>
    <t>Monthly Indexes</t>
  </si>
  <si>
    <t>Date</t>
  </si>
  <si>
    <t>Bituminous</t>
  </si>
  <si>
    <t>Diesel</t>
  </si>
  <si>
    <t>Unleaded</t>
  </si>
  <si>
    <t>WORKSHEET FOR DETERMINING FUEL AND ASPHALT BINDER INDEX ADJUSTMENTS</t>
  </si>
  <si>
    <r>
      <t xml:space="preserve">HOW TO USE:  </t>
    </r>
    <r>
      <rPr>
        <sz val="12"/>
        <rFont val="Arial"/>
        <family val="2"/>
      </rPr>
      <t>Select Base Index Date (cell B8) and Current Index Date (cell H8).</t>
    </r>
  </si>
  <si>
    <t>Spreadsheet uses stored index data to calculate and present index adjustments for eligible items of work.</t>
  </si>
  <si>
    <t>Adjustments to be applied in accordance with contract provisions.</t>
  </si>
  <si>
    <t>Select Base Indexes</t>
  </si>
  <si>
    <t>Select Current Indexes</t>
  </si>
  <si>
    <t>Asphalt Binder</t>
  </si>
  <si>
    <t xml:space="preserve">                                                                               </t>
  </si>
  <si>
    <t>Items of Work Eligible for Fuel Adjustments *</t>
  </si>
  <si>
    <t xml:space="preserve">Unit </t>
  </si>
  <si>
    <t>Gallons Per Unit</t>
  </si>
  <si>
    <t>Monetary Adjustment per Unit</t>
  </si>
  <si>
    <t>Combined</t>
  </si>
  <si>
    <t>Excavation (Unclassified, Borrow, etc.)</t>
  </si>
  <si>
    <t>CY</t>
  </si>
  <si>
    <t>Embankment in Place</t>
  </si>
  <si>
    <t>Sand Clay Base Course 6" Uniform</t>
  </si>
  <si>
    <t>SY</t>
  </si>
  <si>
    <t>Sand Clay Base Course 8" Uniform</t>
  </si>
  <si>
    <t>Graded Aggregate Base Course 6" Uniform</t>
  </si>
  <si>
    <t>Graded Aggregate Base Course 8" Uniform</t>
  </si>
  <si>
    <t>Hot Mix Asphalt (Base, Binder, Surface Courses)</t>
  </si>
  <si>
    <t>TON</t>
  </si>
  <si>
    <t>Full Depth Patching - 4" (Fuel)</t>
  </si>
  <si>
    <t>Full Depth Patching - 6" (Fuel)</t>
  </si>
  <si>
    <t>Full Depth Patching - 8" (Fuel)</t>
  </si>
  <si>
    <t>Full Depth Patching - 10" (Fuel)</t>
  </si>
  <si>
    <t>Full Depth Patching - 12" (Fuel)</t>
  </si>
  <si>
    <t>Portland Cement Concrete Pavements</t>
  </si>
  <si>
    <t>Structural Concrete</t>
  </si>
  <si>
    <t>Reinforced Concrete Pipe (24" or less)</t>
  </si>
  <si>
    <t>LF</t>
  </si>
  <si>
    <t>Reinforced Concrete Pipe (greater than 24")</t>
  </si>
  <si>
    <t>* Eligible for index adjustment when specified in contract.</t>
  </si>
  <si>
    <t>Items of Work Eligible for A.C. Binder Adjustments *</t>
  </si>
  <si>
    <t>AC Binder Tons 
per Unit</t>
  </si>
  <si>
    <t>Monetary Adjustment 
per Unit (for AC Binder)</t>
  </si>
  <si>
    <t>Liquid Asphalt Binder (PG64-22)</t>
  </si>
  <si>
    <t>Liquid Asphalt Binder (PG76-22)</t>
  </si>
  <si>
    <t>Full Depth Patching - 4" (AC Binder)</t>
  </si>
  <si>
    <t>Full Depth Patching - 6" (AC Binder)</t>
  </si>
  <si>
    <t>Full Depth Patching - 8" (AC Binder)</t>
  </si>
  <si>
    <t>Full Depth Patching - 10" (AC Binder)</t>
  </si>
  <si>
    <t>Full Depth Patching - 12" (AC Binder)</t>
  </si>
  <si>
    <t>Base Index Chart and Index Change for Diesel Fuel</t>
  </si>
  <si>
    <t>Base Index Value</t>
  </si>
  <si>
    <t>Current Index Value</t>
  </si>
  <si>
    <t>Index Change Value</t>
  </si>
  <si>
    <t>DECREASE</t>
  </si>
  <si>
    <t>INCREASE</t>
  </si>
  <si>
    <t>Base Index Chart and Index Change for Unleaded Fuel</t>
  </si>
  <si>
    <t>Base Index Chart and Index Change for Asphalt Cement Binder</t>
  </si>
  <si>
    <t>Adjustments per Square Yard of Bituminous Surfacing</t>
  </si>
  <si>
    <t>Asphalt Binder Base Index</t>
  </si>
  <si>
    <t>Asphalt Binder Current Index</t>
  </si>
  <si>
    <t>Bituminous Surfacing Type</t>
  </si>
  <si>
    <t>Unit</t>
  </si>
  <si>
    <t>Minimum Gallons of Liquid per SY</t>
  </si>
  <si>
    <t>Tons of A.C. Binder per SY</t>
  </si>
  <si>
    <t>Adjustment per Square Yard</t>
  </si>
  <si>
    <t>Single Treatment</t>
  </si>
  <si>
    <t>Type-1</t>
  </si>
  <si>
    <t>Type-2</t>
  </si>
  <si>
    <t>Double Treatment</t>
  </si>
  <si>
    <t>Type-4</t>
  </si>
  <si>
    <t>Asphalt Surface Treatment</t>
  </si>
  <si>
    <t>Microsurfacing, Type II</t>
  </si>
  <si>
    <t>Microsurfacing, Type II - Leveling</t>
  </si>
  <si>
    <t>Emulsion for High Performance Chip Seal (Macrosurfacing)</t>
  </si>
  <si>
    <t>Gal</t>
  </si>
  <si>
    <t>Asph Surf Trmt - Triple Treatment-Type 1 (0.85 gal/sy emulsion)</t>
  </si>
  <si>
    <t>Asph Surf Trmt - Triple Treatment-Type 2 (0.71 gal/sy emulsion)</t>
  </si>
  <si>
    <t>Asph Surf Trmt - Triple Treatment-Type 4 (0.82 gal/sy emulsion)</t>
  </si>
  <si>
    <t>Asph Surf Trmt - Single Treatment (0.28 gals/sy mod. emulsion)</t>
  </si>
  <si>
    <t xml:space="preserve">   Triple Treatment</t>
  </si>
  <si>
    <t>Asph Surf Trmt - Double Treatment - Type 5 (0.48 gals/sy mod. emulsion)</t>
  </si>
  <si>
    <t>Asph Surf Trmt - Double Treatment - Type 4 (0.46 gals/sy mod. emulsion)</t>
  </si>
  <si>
    <t>Asph Surf Trmt - Double Treatment - Type 3 (0.55 gals/sy mod. emulsion)</t>
  </si>
  <si>
    <t>Asph Surf Trmt - Double Treatment - Type 2 (0.97 gals/sy mod. emulsion)</t>
  </si>
  <si>
    <t>Asph Surf Trmt - Double Treatment - Type 1 (0.82 gals/sy mod. emulsion)</t>
  </si>
  <si>
    <t>Type 2</t>
  </si>
  <si>
    <t>Type 3</t>
  </si>
  <si>
    <t>Type 4</t>
  </si>
  <si>
    <t>Type 5</t>
  </si>
  <si>
    <t>Type 1</t>
  </si>
  <si>
    <t>Preventative Maintenance Surface Treatment (80 # per SY @ 6.5% AC)</t>
  </si>
  <si>
    <t>Graded Aggregate Base Course 10" Uniform</t>
  </si>
  <si>
    <t>Borrow Excavation - Lightweight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</si>
</sst>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0.000"/>
    <numFmt numFmtId="166" formatCode="#,##0.0000_);\(#,##0.0000\)"/>
    <numFmt numFmtId="167" formatCode="&quot;$&quot;#,##0.00"/>
    <numFmt numFmtId="168" formatCode="&quot;$&quot;#,##0.0000"/>
  </numFmts>
  <fonts count="4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9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-0.249977111117893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9"/>
      </top>
      <bottom/>
      <diagonal/>
    </border>
    <border>
      <left/>
      <right/>
      <top style="thick">
        <color indexed="9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indexed="64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indexed="64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theme="0" tint="-4.9989318521683403E-2"/>
      </bottom>
      <diagonal/>
    </border>
    <border>
      <left style="thick">
        <color indexed="64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theme="0" tint="-4.9989318521683403E-2"/>
      </right>
      <top style="thick">
        <color theme="0" tint="-4.9989318521683403E-2"/>
      </top>
      <bottom style="thick">
        <color indexed="64"/>
      </bottom>
      <diagonal/>
    </border>
    <border>
      <left style="thick">
        <color theme="0" tint="-4.9989318521683403E-2"/>
      </left>
      <right style="thick">
        <color indexed="64"/>
      </right>
      <top style="thick">
        <color theme="0" tint="-4.9989318521683403E-2"/>
      </top>
      <bottom style="thick">
        <color indexed="64"/>
      </bottom>
      <diagonal/>
    </border>
  </borders>
  <cellStyleXfs count="106">
    <xf numFmtId="0" fontId="0" fillId="0" borderId="0"/>
    <xf numFmtId="43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0" fontId="23" fillId="0" borderId="0"/>
    <xf numFmtId="0" fontId="39" fillId="0" borderId="0"/>
    <xf numFmtId="43" fontId="24" fillId="0" borderId="0" applyFont="0" applyFill="0" applyBorder="0" applyAlignment="0" applyProtection="0"/>
    <xf numFmtId="0" fontId="22" fillId="0" borderId="0"/>
    <xf numFmtId="0" fontId="21" fillId="0" borderId="0"/>
    <xf numFmtId="0" fontId="24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44" fontId="7" fillId="0" borderId="0" applyFont="0" applyFill="0" applyBorder="0" applyAlignment="0" applyProtection="0"/>
    <xf numFmtId="0" fontId="6" fillId="0" borderId="0"/>
    <xf numFmtId="44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</cellStyleXfs>
  <cellXfs count="194">
    <xf numFmtId="0" fontId="0" fillId="0" borderId="0" xfId="0"/>
    <xf numFmtId="0" fontId="0" fillId="2" borderId="0" xfId="0" applyFill="1"/>
    <xf numFmtId="0" fontId="0" fillId="2" borderId="0" xfId="0" applyFill="1" applyProtection="1">
      <protection hidden="1"/>
    </xf>
    <xf numFmtId="0" fontId="0" fillId="3" borderId="0" xfId="0" applyFill="1" applyAlignment="1" applyProtection="1">
      <alignment horizontal="center"/>
      <protection hidden="1"/>
    </xf>
    <xf numFmtId="15" fontId="0" fillId="3" borderId="0" xfId="0" applyNumberFormat="1" applyFill="1" applyProtection="1">
      <protection hidden="1"/>
    </xf>
    <xf numFmtId="44" fontId="24" fillId="3" borderId="0" xfId="2" applyFill="1" applyProtection="1">
      <protection hidden="1"/>
    </xf>
    <xf numFmtId="164" fontId="24" fillId="3" borderId="0" xfId="2" applyNumberFormat="1" applyFill="1" applyProtection="1">
      <protection hidden="1"/>
    </xf>
    <xf numFmtId="15" fontId="0" fillId="4" borderId="9" xfId="0" applyNumberFormat="1" applyFill="1" applyBorder="1" applyAlignment="1" applyProtection="1">
      <alignment horizontal="center"/>
      <protection locked="0"/>
    </xf>
    <xf numFmtId="15" fontId="0" fillId="0" borderId="9" xfId="0" applyNumberFormat="1" applyBorder="1" applyAlignment="1" applyProtection="1">
      <alignment horizontal="center"/>
      <protection locked="0"/>
    </xf>
    <xf numFmtId="0" fontId="0" fillId="3" borderId="0" xfId="0" applyFill="1"/>
    <xf numFmtId="0" fontId="0" fillId="3" borderId="0" xfId="0" applyFill="1" applyProtection="1">
      <protection hidden="1"/>
    </xf>
    <xf numFmtId="0" fontId="0" fillId="2" borderId="17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0" fillId="2" borderId="18" xfId="0" applyFill="1" applyBorder="1" applyProtection="1">
      <protection hidden="1"/>
    </xf>
    <xf numFmtId="168" fontId="24" fillId="3" borderId="9" xfId="2" applyNumberFormat="1" applyFill="1" applyBorder="1" applyProtection="1">
      <protection hidden="1"/>
    </xf>
    <xf numFmtId="168" fontId="24" fillId="3" borderId="19" xfId="2" applyNumberFormat="1" applyFill="1" applyBorder="1" applyProtection="1">
      <protection hidden="1"/>
    </xf>
    <xf numFmtId="168" fontId="24" fillId="5" borderId="9" xfId="2" applyNumberFormat="1" applyFill="1" applyBorder="1" applyProtection="1">
      <protection hidden="1"/>
    </xf>
    <xf numFmtId="0" fontId="0" fillId="2" borderId="20" xfId="0" applyFill="1" applyBorder="1" applyProtection="1">
      <protection hidden="1"/>
    </xf>
    <xf numFmtId="168" fontId="24" fillId="2" borderId="20" xfId="2" applyNumberFormat="1" applyFill="1" applyBorder="1" applyProtection="1">
      <protection hidden="1"/>
    </xf>
    <xf numFmtId="168" fontId="24" fillId="2" borderId="21" xfId="2" applyNumberFormat="1" applyFill="1" applyBorder="1" applyProtection="1">
      <protection hidden="1"/>
    </xf>
    <xf numFmtId="0" fontId="0" fillId="2" borderId="22" xfId="0" applyFill="1" applyBorder="1" applyProtection="1">
      <protection hidden="1"/>
    </xf>
    <xf numFmtId="168" fontId="24" fillId="2" borderId="22" xfId="2" applyNumberFormat="1" applyFill="1" applyBorder="1" applyProtection="1">
      <protection hidden="1"/>
    </xf>
    <xf numFmtId="168" fontId="24" fillId="2" borderId="23" xfId="2" applyNumberFormat="1" applyFill="1" applyBorder="1" applyProtection="1">
      <protection hidden="1"/>
    </xf>
    <xf numFmtId="0" fontId="0" fillId="2" borderId="24" xfId="0" applyFill="1" applyBorder="1" applyProtection="1">
      <protection hidden="1"/>
    </xf>
    <xf numFmtId="168" fontId="24" fillId="2" borderId="24" xfId="2" applyNumberFormat="1" applyFill="1" applyBorder="1" applyProtection="1">
      <protection hidden="1"/>
    </xf>
    <xf numFmtId="168" fontId="24" fillId="2" borderId="25" xfId="2" applyNumberFormat="1" applyFill="1" applyBorder="1" applyProtection="1">
      <protection hidden="1"/>
    </xf>
    <xf numFmtId="0" fontId="0" fillId="3" borderId="0" xfId="0" applyFill="1" applyBorder="1" applyAlignment="1" applyProtection="1">
      <alignment horizontal="center" vertical="center" textRotation="255"/>
      <protection hidden="1"/>
    </xf>
    <xf numFmtId="0" fontId="0" fillId="3" borderId="0" xfId="0" applyFill="1" applyBorder="1" applyProtection="1">
      <protection hidden="1"/>
    </xf>
    <xf numFmtId="168" fontId="24" fillId="3" borderId="0" xfId="2" applyNumberFormat="1" applyFill="1" applyBorder="1" applyProtection="1">
      <protection hidden="1"/>
    </xf>
    <xf numFmtId="167" fontId="24" fillId="3" borderId="9" xfId="2" applyNumberFormat="1" applyFill="1" applyBorder="1" applyProtection="1">
      <protection hidden="1"/>
    </xf>
    <xf numFmtId="167" fontId="24" fillId="5" borderId="9" xfId="2" applyNumberFormat="1" applyFill="1" applyBorder="1" applyProtection="1">
      <protection hidden="1"/>
    </xf>
    <xf numFmtId="167" fontId="24" fillId="2" borderId="22" xfId="2" applyNumberFormat="1" applyFill="1" applyBorder="1" applyProtection="1">
      <protection hidden="1"/>
    </xf>
    <xf numFmtId="0" fontId="0" fillId="2" borderId="0" xfId="0" applyFill="1" applyAlignment="1">
      <alignment horizontal="right"/>
    </xf>
    <xf numFmtId="44" fontId="0" fillId="0" borderId="9" xfId="2" applyFont="1" applyFill="1" applyBorder="1"/>
    <xf numFmtId="0" fontId="32" fillId="2" borderId="9" xfId="0" applyFont="1" applyFill="1" applyBorder="1"/>
    <xf numFmtId="0" fontId="0" fillId="2" borderId="9" xfId="0" applyFill="1" applyBorder="1"/>
    <xf numFmtId="0" fontId="0" fillId="2" borderId="9" xfId="0" applyFill="1" applyBorder="1" applyAlignment="1">
      <alignment horizontal="center" wrapText="1"/>
    </xf>
    <xf numFmtId="44" fontId="0" fillId="2" borderId="9" xfId="2" applyFont="1" applyFill="1" applyBorder="1"/>
    <xf numFmtId="168" fontId="24" fillId="2" borderId="20" xfId="2" applyNumberFormat="1" applyFont="1" applyFill="1" applyBorder="1" applyProtection="1">
      <protection hidden="1"/>
    </xf>
    <xf numFmtId="168" fontId="24" fillId="2" borderId="26" xfId="2" applyNumberFormat="1" applyFont="1" applyFill="1" applyBorder="1" applyProtection="1">
      <protection hidden="1"/>
    </xf>
    <xf numFmtId="168" fontId="24" fillId="2" borderId="22" xfId="2" applyNumberFormat="1" applyFont="1" applyFill="1" applyBorder="1" applyProtection="1">
      <protection hidden="1"/>
    </xf>
    <xf numFmtId="0" fontId="0" fillId="2" borderId="27" xfId="0" applyFill="1" applyBorder="1" applyProtection="1">
      <protection hidden="1"/>
    </xf>
    <xf numFmtId="168" fontId="24" fillId="2" borderId="28" xfId="2" applyNumberFormat="1" applyFont="1" applyFill="1" applyBorder="1" applyProtection="1">
      <protection hidden="1"/>
    </xf>
    <xf numFmtId="168" fontId="24" fillId="2" borderId="27" xfId="2" applyNumberFormat="1" applyFill="1" applyBorder="1" applyProtection="1">
      <protection hidden="1"/>
    </xf>
    <xf numFmtId="168" fontId="24" fillId="2" borderId="29" xfId="2" applyNumberFormat="1" applyFill="1" applyBorder="1" applyProtection="1">
      <protection hidden="1"/>
    </xf>
    <xf numFmtId="0" fontId="0" fillId="2" borderId="30" xfId="0" applyFill="1" applyBorder="1" applyProtection="1">
      <protection hidden="1"/>
    </xf>
    <xf numFmtId="168" fontId="24" fillId="2" borderId="30" xfId="2" applyNumberFormat="1" applyFont="1" applyFill="1" applyBorder="1" applyProtection="1">
      <protection hidden="1"/>
    </xf>
    <xf numFmtId="168" fontId="24" fillId="2" borderId="30" xfId="2" applyNumberFormat="1" applyFill="1" applyBorder="1" applyProtection="1">
      <protection hidden="1"/>
    </xf>
    <xf numFmtId="168" fontId="24" fillId="2" borderId="31" xfId="2" applyNumberFormat="1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0" fillId="2" borderId="33" xfId="0" applyFill="1" applyBorder="1" applyProtection="1">
      <protection hidden="1"/>
    </xf>
    <xf numFmtId="0" fontId="0" fillId="2" borderId="34" xfId="0" applyFill="1" applyBorder="1" applyProtection="1">
      <protection hidden="1"/>
    </xf>
    <xf numFmtId="0" fontId="0" fillId="2" borderId="35" xfId="0" applyFill="1" applyBorder="1" applyProtection="1">
      <protection hidden="1"/>
    </xf>
    <xf numFmtId="0" fontId="0" fillId="2" borderId="36" xfId="0" applyFill="1" applyBorder="1" applyProtection="1">
      <protection hidden="1"/>
    </xf>
    <xf numFmtId="168" fontId="24" fillId="2" borderId="24" xfId="2" applyNumberFormat="1" applyFont="1" applyFill="1" applyBorder="1" applyProtection="1">
      <protection hidden="1"/>
    </xf>
    <xf numFmtId="0" fontId="0" fillId="2" borderId="26" xfId="0" applyFill="1" applyBorder="1" applyProtection="1">
      <protection hidden="1"/>
    </xf>
    <xf numFmtId="0" fontId="0" fillId="2" borderId="37" xfId="0" applyFill="1" applyBorder="1" applyProtection="1">
      <protection hidden="1"/>
    </xf>
    <xf numFmtId="0" fontId="0" fillId="2" borderId="38" xfId="0" applyFill="1" applyBorder="1" applyProtection="1">
      <protection hidden="1"/>
    </xf>
    <xf numFmtId="0" fontId="0" fillId="2" borderId="39" xfId="0" applyFill="1" applyBorder="1" applyProtection="1">
      <protection hidden="1"/>
    </xf>
    <xf numFmtId="167" fontId="24" fillId="2" borderId="37" xfId="2" applyNumberFormat="1" applyFill="1" applyBorder="1" applyProtection="1">
      <protection hidden="1"/>
    </xf>
    <xf numFmtId="8" fontId="24" fillId="3" borderId="0" xfId="2" applyNumberFormat="1" applyFill="1" applyProtection="1">
      <protection hidden="1"/>
    </xf>
    <xf numFmtId="0" fontId="24" fillId="2" borderId="0" xfId="0" applyFont="1" applyFill="1" applyProtection="1">
      <protection hidden="1"/>
    </xf>
    <xf numFmtId="0" fontId="24" fillId="2" borderId="0" xfId="0" applyFont="1" applyFill="1"/>
    <xf numFmtId="0" fontId="0" fillId="2" borderId="40" xfId="0" applyFill="1" applyBorder="1" applyProtection="1">
      <protection hidden="1"/>
    </xf>
    <xf numFmtId="167" fontId="24" fillId="2" borderId="30" xfId="2" applyNumberFormat="1" applyFill="1" applyBorder="1" applyProtection="1">
      <protection hidden="1"/>
    </xf>
    <xf numFmtId="0" fontId="0" fillId="2" borderId="41" xfId="0" applyFill="1" applyBorder="1" applyProtection="1">
      <protection hidden="1"/>
    </xf>
    <xf numFmtId="167" fontId="24" fillId="2" borderId="42" xfId="2" applyNumberFormat="1" applyFill="1" applyBorder="1" applyProtection="1">
      <protection hidden="1"/>
    </xf>
    <xf numFmtId="167" fontId="24" fillId="2" borderId="43" xfId="2" applyNumberFormat="1" applyFont="1" applyFill="1" applyBorder="1" applyProtection="1">
      <protection hidden="1"/>
    </xf>
    <xf numFmtId="167" fontId="24" fillId="2" borderId="43" xfId="2" applyNumberFormat="1" applyFill="1" applyBorder="1" applyProtection="1">
      <protection hidden="1"/>
    </xf>
    <xf numFmtId="167" fontId="24" fillId="2" borderId="44" xfId="2" applyNumberFormat="1" applyFill="1" applyBorder="1" applyProtection="1">
      <protection hidden="1"/>
    </xf>
    <xf numFmtId="167" fontId="24" fillId="2" borderId="45" xfId="2" applyNumberFormat="1" applyFill="1" applyBorder="1" applyProtection="1">
      <protection hidden="1"/>
    </xf>
    <xf numFmtId="0" fontId="0" fillId="2" borderId="46" xfId="0" applyFill="1" applyBorder="1" applyProtection="1">
      <protection hidden="1"/>
    </xf>
    <xf numFmtId="164" fontId="24" fillId="0" borderId="0" xfId="2" applyNumberFormat="1" applyFill="1" applyProtection="1">
      <protection hidden="1"/>
    </xf>
    <xf numFmtId="0" fontId="33" fillId="2" borderId="47" xfId="0" applyFont="1" applyFill="1" applyBorder="1" applyAlignment="1">
      <alignment horizontal="left"/>
    </xf>
    <xf numFmtId="0" fontId="0" fillId="2" borderId="47" xfId="0" applyFill="1" applyBorder="1"/>
    <xf numFmtId="44" fontId="0" fillId="2" borderId="47" xfId="2" applyFont="1" applyFill="1" applyBorder="1"/>
    <xf numFmtId="0" fontId="0" fillId="2" borderId="9" xfId="0" applyFill="1" applyBorder="1" applyAlignment="1">
      <alignment horizontal="left" indent="1"/>
    </xf>
    <xf numFmtId="0" fontId="0" fillId="2" borderId="9" xfId="0" applyFill="1" applyBorder="1" applyAlignment="1">
      <alignment horizontal="center"/>
    </xf>
    <xf numFmtId="0" fontId="34" fillId="2" borderId="5" xfId="0" applyFont="1" applyFill="1" applyBorder="1" applyAlignment="1">
      <alignment horizontal="left"/>
    </xf>
    <xf numFmtId="0" fontId="0" fillId="2" borderId="6" xfId="0" applyFill="1" applyBorder="1"/>
    <xf numFmtId="44" fontId="0" fillId="2" borderId="7" xfId="2" applyFont="1" applyFill="1" applyBorder="1"/>
    <xf numFmtId="0" fontId="0" fillId="6" borderId="0" xfId="0" applyFill="1"/>
    <xf numFmtId="0" fontId="0" fillId="6" borderId="0" xfId="0" applyFill="1" applyBorder="1"/>
    <xf numFmtId="0" fontId="0" fillId="7" borderId="68" xfId="0" applyFill="1" applyBorder="1"/>
    <xf numFmtId="0" fontId="26" fillId="7" borderId="69" xfId="0" applyFont="1" applyFill="1" applyBorder="1"/>
    <xf numFmtId="0" fontId="0" fillId="7" borderId="69" xfId="0" applyFill="1" applyBorder="1"/>
    <xf numFmtId="0" fontId="0" fillId="7" borderId="70" xfId="0" applyFill="1" applyBorder="1"/>
    <xf numFmtId="0" fontId="0" fillId="7" borderId="71" xfId="0" applyFill="1" applyBorder="1"/>
    <xf numFmtId="0" fontId="27" fillId="7" borderId="72" xfId="0" applyFont="1" applyFill="1" applyBorder="1" applyAlignment="1">
      <alignment horizontal="left" indent="2"/>
    </xf>
    <xf numFmtId="0" fontId="0" fillId="7" borderId="72" xfId="0" applyFill="1" applyBorder="1"/>
    <xf numFmtId="0" fontId="0" fillId="7" borderId="73" xfId="0" applyFill="1" applyBorder="1"/>
    <xf numFmtId="0" fontId="28" fillId="7" borderId="72" xfId="0" applyFont="1" applyFill="1" applyBorder="1" applyAlignment="1">
      <alignment horizontal="left" indent="2"/>
    </xf>
    <xf numFmtId="0" fontId="0" fillId="7" borderId="74" xfId="0" applyFill="1" applyBorder="1"/>
    <xf numFmtId="0" fontId="28" fillId="7" borderId="75" xfId="0" applyFont="1" applyFill="1" applyBorder="1" applyAlignment="1">
      <alignment horizontal="left" indent="2"/>
    </xf>
    <xf numFmtId="0" fontId="0" fillId="7" borderId="75" xfId="0" applyFill="1" applyBorder="1"/>
    <xf numFmtId="0" fontId="0" fillId="7" borderId="76" xfId="0" applyFill="1" applyBorder="1"/>
    <xf numFmtId="0" fontId="0" fillId="7" borderId="1" xfId="0" applyFill="1" applyBorder="1"/>
    <xf numFmtId="0" fontId="0" fillId="7" borderId="4" xfId="0" applyFill="1" applyBorder="1"/>
    <xf numFmtId="0" fontId="0" fillId="7" borderId="10" xfId="0" applyFill="1" applyBorder="1"/>
    <xf numFmtId="0" fontId="0" fillId="7" borderId="2" xfId="0" applyFill="1" applyBorder="1"/>
    <xf numFmtId="0" fontId="0" fillId="7" borderId="0" xfId="0" applyFill="1" applyBorder="1"/>
    <xf numFmtId="0" fontId="0" fillId="7" borderId="0" xfId="0" applyFill="1" applyBorder="1" applyAlignment="1"/>
    <xf numFmtId="0" fontId="0" fillId="7" borderId="11" xfId="0" applyFill="1" applyBorder="1"/>
    <xf numFmtId="0" fontId="0" fillId="7" borderId="3" xfId="0" applyFill="1" applyBorder="1"/>
    <xf numFmtId="0" fontId="0" fillId="7" borderId="8" xfId="0" applyFill="1" applyBorder="1"/>
    <xf numFmtId="0" fontId="0" fillId="7" borderId="12" xfId="0" applyFill="1" applyBorder="1"/>
    <xf numFmtId="165" fontId="0" fillId="7" borderId="11" xfId="0" applyNumberFormat="1" applyFill="1" applyBorder="1"/>
    <xf numFmtId="0" fontId="36" fillId="8" borderId="9" xfId="0" applyFont="1" applyFill="1" applyBorder="1" applyAlignment="1">
      <alignment horizontal="center" wrapText="1"/>
    </xf>
    <xf numFmtId="0" fontId="36" fillId="8" borderId="9" xfId="0" applyFont="1" applyFill="1" applyBorder="1" applyAlignment="1">
      <alignment horizontal="center"/>
    </xf>
    <xf numFmtId="44" fontId="0" fillId="6" borderId="7" xfId="2" applyFont="1" applyFill="1" applyBorder="1" applyAlignment="1">
      <alignment horizontal="center"/>
    </xf>
    <xf numFmtId="164" fontId="0" fillId="6" borderId="7" xfId="2" applyNumberFormat="1" applyFont="1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39" fontId="0" fillId="6" borderId="9" xfId="1" applyNumberFormat="1" applyFont="1" applyFill="1" applyBorder="1" applyAlignment="1">
      <alignment horizontal="center"/>
    </xf>
    <xf numFmtId="44" fontId="0" fillId="6" borderId="9" xfId="2" applyFont="1" applyFill="1" applyBorder="1" applyAlignment="1">
      <alignment horizontal="center"/>
    </xf>
    <xf numFmtId="0" fontId="0" fillId="6" borderId="47" xfId="0" applyFill="1" applyBorder="1" applyAlignment="1">
      <alignment horizontal="left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0" fontId="0" fillId="6" borderId="7" xfId="0" applyFill="1" applyBorder="1" applyAlignment="1">
      <alignment horizontal="center"/>
    </xf>
    <xf numFmtId="0" fontId="0" fillId="6" borderId="19" xfId="0" applyFill="1" applyBorder="1" applyAlignment="1">
      <alignment horizontal="left"/>
    </xf>
    <xf numFmtId="0" fontId="0" fillId="6" borderId="9" xfId="0" applyFill="1" applyBorder="1" applyAlignment="1">
      <alignment horizontal="left"/>
    </xf>
    <xf numFmtId="0" fontId="37" fillId="8" borderId="9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31" fillId="7" borderId="13" xfId="0" applyFont="1" applyFill="1" applyBorder="1" applyAlignment="1">
      <alignment horizontal="left" vertical="top"/>
    </xf>
    <xf numFmtId="0" fontId="0" fillId="7" borderId="14" xfId="0" applyFill="1" applyBorder="1"/>
    <xf numFmtId="0" fontId="0" fillId="7" borderId="15" xfId="0" applyFill="1" applyBorder="1"/>
    <xf numFmtId="0" fontId="31" fillId="7" borderId="0" xfId="0" applyFont="1" applyFill="1" applyBorder="1" applyAlignment="1">
      <alignment horizontal="left"/>
    </xf>
    <xf numFmtId="0" fontId="0" fillId="7" borderId="0" xfId="0" applyFill="1" applyBorder="1" applyAlignment="1">
      <alignment horizontal="left"/>
    </xf>
    <xf numFmtId="0" fontId="0" fillId="7" borderId="0" xfId="0" applyFill="1" applyBorder="1" applyAlignment="1">
      <alignment horizontal="center"/>
    </xf>
    <xf numFmtId="166" fontId="0" fillId="7" borderId="0" xfId="1" applyNumberFormat="1" applyFont="1" applyFill="1" applyBorder="1" applyAlignment="1">
      <alignment horizontal="center"/>
    </xf>
    <xf numFmtId="167" fontId="0" fillId="7" borderId="0" xfId="2" applyNumberFormat="1" applyFont="1" applyFill="1" applyBorder="1" applyAlignment="1">
      <alignment horizontal="center"/>
    </xf>
    <xf numFmtId="0" fontId="0" fillId="7" borderId="0" xfId="0" applyFill="1" applyAlignment="1"/>
    <xf numFmtId="0" fontId="0" fillId="7" borderId="0" xfId="0" applyFill="1"/>
    <xf numFmtId="0" fontId="38" fillId="7" borderId="16" xfId="0" applyFont="1" applyFill="1" applyBorder="1" applyAlignment="1">
      <alignment horizontal="center"/>
    </xf>
    <xf numFmtId="0" fontId="29" fillId="7" borderId="0" xfId="0" applyFont="1" applyFill="1"/>
    <xf numFmtId="0" fontId="29" fillId="7" borderId="8" xfId="0" applyFont="1" applyFill="1" applyBorder="1"/>
    <xf numFmtId="0" fontId="29" fillId="7" borderId="0" xfId="0" applyFont="1" applyFill="1" applyAlignment="1"/>
    <xf numFmtId="0" fontId="34" fillId="6" borderId="9" xfId="0" applyFont="1" applyFill="1" applyBorder="1" applyAlignment="1">
      <alignment horizontal="center"/>
    </xf>
    <xf numFmtId="0" fontId="0" fillId="0" borderId="0" xfId="0"/>
    <xf numFmtId="14" fontId="0" fillId="2" borderId="0" xfId="0" applyNumberFormat="1" applyFill="1" applyProtection="1">
      <protection hidden="1"/>
    </xf>
    <xf numFmtId="0" fontId="0" fillId="6" borderId="5" xfId="0" applyFill="1" applyBorder="1" applyAlignment="1">
      <alignment horizontal="left"/>
    </xf>
    <xf numFmtId="0" fontId="0" fillId="6" borderId="6" xfId="0" applyFill="1" applyBorder="1" applyAlignment="1">
      <alignment horizontal="left"/>
    </xf>
    <xf numFmtId="0" fontId="0" fillId="6" borderId="7" xfId="0" applyFill="1" applyBorder="1" applyAlignment="1">
      <alignment horizontal="left"/>
    </xf>
    <xf numFmtId="166" fontId="0" fillId="6" borderId="5" xfId="1" applyNumberFormat="1" applyFont="1" applyFill="1" applyBorder="1" applyAlignment="1">
      <alignment horizontal="center"/>
    </xf>
    <xf numFmtId="166" fontId="0" fillId="6" borderId="7" xfId="1" applyNumberFormat="1" applyFont="1" applyFill="1" applyBorder="1" applyAlignment="1">
      <alignment horizontal="center"/>
    </xf>
    <xf numFmtId="167" fontId="0" fillId="6" borderId="5" xfId="2" applyNumberFormat="1" applyFont="1" applyFill="1" applyBorder="1" applyAlignment="1">
      <alignment horizontal="center"/>
    </xf>
    <xf numFmtId="167" fontId="0" fillId="6" borderId="7" xfId="2" applyNumberFormat="1" applyFont="1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35" fillId="8" borderId="5" xfId="0" applyFont="1" applyFill="1" applyBorder="1" applyAlignment="1">
      <alignment horizontal="left" indent="1"/>
    </xf>
    <xf numFmtId="0" fontId="35" fillId="8" borderId="6" xfId="0" applyFont="1" applyFill="1" applyBorder="1" applyAlignment="1">
      <alignment horizontal="left" indent="1"/>
    </xf>
    <xf numFmtId="0" fontId="35" fillId="8" borderId="7" xfId="0" applyFont="1" applyFill="1" applyBorder="1" applyAlignment="1">
      <alignment horizontal="left" indent="1"/>
    </xf>
    <xf numFmtId="0" fontId="30" fillId="7" borderId="0" xfId="0" applyFont="1" applyFill="1" applyBorder="1" applyAlignment="1">
      <alignment horizontal="center" wrapText="1"/>
    </xf>
    <xf numFmtId="0" fontId="37" fillId="8" borderId="9" xfId="0" applyFont="1" applyFill="1" applyBorder="1" applyAlignment="1">
      <alignment horizontal="center"/>
    </xf>
    <xf numFmtId="0" fontId="0" fillId="6" borderId="9" xfId="0" applyFill="1" applyBorder="1" applyAlignment="1">
      <alignment horizontal="left"/>
    </xf>
    <xf numFmtId="0" fontId="37" fillId="8" borderId="48" xfId="0" applyFont="1" applyFill="1" applyBorder="1" applyAlignment="1">
      <alignment horizontal="center" wrapText="1"/>
    </xf>
    <xf numFmtId="0" fontId="37" fillId="8" borderId="49" xfId="0" applyFont="1" applyFill="1" applyBorder="1" applyAlignment="1">
      <alignment horizontal="center" wrapText="1"/>
    </xf>
    <xf numFmtId="0" fontId="37" fillId="8" borderId="50" xfId="0" applyFont="1" applyFill="1" applyBorder="1" applyAlignment="1">
      <alignment horizontal="center" wrapText="1"/>
    </xf>
    <xf numFmtId="0" fontId="37" fillId="8" borderId="51" xfId="0" applyFont="1" applyFill="1" applyBorder="1" applyAlignment="1">
      <alignment horizontal="center" wrapText="1"/>
    </xf>
    <xf numFmtId="0" fontId="37" fillId="8" borderId="52" xfId="0" applyFont="1" applyFill="1" applyBorder="1" applyAlignment="1">
      <alignment horizontal="center" wrapText="1"/>
    </xf>
    <xf numFmtId="0" fontId="37" fillId="8" borderId="53" xfId="0" applyFont="1" applyFill="1" applyBorder="1" applyAlignment="1">
      <alignment horizontal="center" wrapText="1"/>
    </xf>
    <xf numFmtId="166" fontId="0" fillId="6" borderId="9" xfId="1" applyNumberFormat="1" applyFont="1" applyFill="1" applyBorder="1" applyAlignment="1">
      <alignment horizontal="center"/>
    </xf>
    <xf numFmtId="0" fontId="37" fillId="8" borderId="9" xfId="0" applyFont="1" applyFill="1" applyBorder="1" applyAlignment="1">
      <alignment horizontal="center" wrapText="1"/>
    </xf>
    <xf numFmtId="166" fontId="24" fillId="6" borderId="5" xfId="1" applyNumberFormat="1" applyFont="1" applyFill="1" applyBorder="1" applyAlignment="1">
      <alignment horizontal="center"/>
    </xf>
    <xf numFmtId="166" fontId="24" fillId="6" borderId="7" xfId="1" applyNumberFormat="1" applyFont="1" applyFill="1" applyBorder="1" applyAlignment="1">
      <alignment horizontal="center"/>
    </xf>
    <xf numFmtId="0" fontId="34" fillId="6" borderId="5" xfId="0" applyFont="1" applyFill="1" applyBorder="1" applyAlignment="1">
      <alignment horizontal="left"/>
    </xf>
    <xf numFmtId="166" fontId="0" fillId="6" borderId="6" xfId="1" applyNumberFormat="1" applyFont="1" applyFill="1" applyBorder="1" applyAlignment="1">
      <alignment horizontal="center"/>
    </xf>
    <xf numFmtId="0" fontId="25" fillId="3" borderId="0" xfId="0" applyFont="1" applyFill="1" applyAlignment="1" applyProtection="1">
      <alignment horizontal="center"/>
      <protection hidden="1"/>
    </xf>
    <xf numFmtId="0" fontId="0" fillId="2" borderId="54" xfId="0" applyFill="1" applyBorder="1" applyAlignment="1" applyProtection="1">
      <alignment horizontal="center" vertical="center" textRotation="255"/>
      <protection hidden="1"/>
    </xf>
    <xf numFmtId="0" fontId="0" fillId="2" borderId="55" xfId="0" applyFill="1" applyBorder="1" applyAlignment="1" applyProtection="1">
      <alignment horizontal="center" vertical="center" textRotation="255"/>
      <protection hidden="1"/>
    </xf>
    <xf numFmtId="0" fontId="0" fillId="2" borderId="56" xfId="0" applyFill="1" applyBorder="1" applyAlignment="1" applyProtection="1">
      <alignment horizontal="center" vertical="center" textRotation="255"/>
      <protection hidden="1"/>
    </xf>
    <xf numFmtId="0" fontId="0" fillId="2" borderId="57" xfId="0" applyFill="1" applyBorder="1" applyAlignment="1" applyProtection="1">
      <alignment horizontal="center" vertical="center" textRotation="255"/>
      <protection hidden="1"/>
    </xf>
    <xf numFmtId="0" fontId="0" fillId="2" borderId="58" xfId="0" applyFill="1" applyBorder="1" applyAlignment="1" applyProtection="1">
      <alignment horizontal="center" vertical="center" textRotation="255"/>
      <protection hidden="1"/>
    </xf>
    <xf numFmtId="0" fontId="0" fillId="2" borderId="59" xfId="0" applyFill="1" applyBorder="1" applyAlignment="1" applyProtection="1">
      <alignment horizontal="center" vertical="center" textRotation="255"/>
      <protection hidden="1"/>
    </xf>
    <xf numFmtId="0" fontId="0" fillId="2" borderId="60" xfId="0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/>
      <protection hidden="1"/>
    </xf>
    <xf numFmtId="0" fontId="27" fillId="2" borderId="62" xfId="0" applyFont="1" applyFill="1" applyBorder="1" applyAlignment="1" applyProtection="1">
      <alignment horizontal="center"/>
      <protection hidden="1"/>
    </xf>
    <xf numFmtId="0" fontId="27" fillId="2" borderId="63" xfId="0" applyFont="1" applyFill="1" applyBorder="1" applyAlignment="1" applyProtection="1">
      <alignment horizontal="center"/>
      <protection hidden="1"/>
    </xf>
    <xf numFmtId="0" fontId="0" fillId="3" borderId="48" xfId="0" applyFill="1" applyBorder="1" applyAlignment="1" applyProtection="1">
      <alignment horizontal="left"/>
      <protection hidden="1"/>
    </xf>
    <xf numFmtId="0" fontId="0" fillId="3" borderId="49" xfId="0" applyFill="1" applyBorder="1" applyAlignment="1" applyProtection="1">
      <alignment horizontal="left"/>
      <protection hidden="1"/>
    </xf>
    <xf numFmtId="0" fontId="0" fillId="3" borderId="51" xfId="0" applyFill="1" applyBorder="1" applyAlignment="1" applyProtection="1">
      <alignment horizontal="left"/>
      <protection hidden="1"/>
    </xf>
    <xf numFmtId="0" fontId="0" fillId="3" borderId="52" xfId="0" applyFill="1" applyBorder="1" applyAlignment="1" applyProtection="1">
      <alignment horizontal="left"/>
      <protection hidden="1"/>
    </xf>
    <xf numFmtId="0" fontId="0" fillId="3" borderId="16" xfId="0" applyFill="1" applyBorder="1" applyAlignment="1" applyProtection="1">
      <alignment horizontal="left"/>
      <protection hidden="1"/>
    </xf>
    <xf numFmtId="0" fontId="0" fillId="3" borderId="0" xfId="0" applyFill="1" applyBorder="1" applyAlignment="1" applyProtection="1">
      <alignment horizontal="left"/>
      <protection hidden="1"/>
    </xf>
    <xf numFmtId="0" fontId="28" fillId="2" borderId="47" xfId="0" applyFont="1" applyFill="1" applyBorder="1" applyAlignment="1" applyProtection="1">
      <alignment horizontal="center" vertical="center" textRotation="255"/>
      <protection hidden="1"/>
    </xf>
    <xf numFmtId="0" fontId="28" fillId="2" borderId="64" xfId="0" applyFont="1" applyFill="1" applyBorder="1" applyAlignment="1" applyProtection="1">
      <alignment horizontal="center" vertical="center" textRotation="255"/>
      <protection hidden="1"/>
    </xf>
    <xf numFmtId="0" fontId="0" fillId="0" borderId="64" xfId="0" applyBorder="1" applyAlignment="1"/>
    <xf numFmtId="0" fontId="0" fillId="0" borderId="19" xfId="0" applyBorder="1" applyAlignment="1"/>
    <xf numFmtId="0" fontId="28" fillId="2" borderId="65" xfId="0" applyFont="1" applyFill="1" applyBorder="1" applyAlignment="1" applyProtection="1">
      <alignment horizontal="center" vertical="center" textRotation="255"/>
      <protection hidden="1"/>
    </xf>
    <xf numFmtId="0" fontId="28" fillId="2" borderId="66" xfId="0" applyFont="1" applyFill="1" applyBorder="1" applyAlignment="1" applyProtection="1">
      <alignment horizontal="center" vertical="center" textRotation="255"/>
      <protection hidden="1"/>
    </xf>
    <xf numFmtId="0" fontId="28" fillId="2" borderId="67" xfId="0" applyFont="1" applyFill="1" applyBorder="1" applyAlignment="1" applyProtection="1">
      <alignment horizontal="center" vertical="center" textRotation="255"/>
      <protection hidden="1"/>
    </xf>
    <xf numFmtId="0" fontId="27" fillId="2" borderId="61" xfId="0" applyFont="1" applyFill="1" applyBorder="1" applyAlignment="1" applyProtection="1">
      <alignment horizontal="center" wrapText="1"/>
      <protection hidden="1"/>
    </xf>
    <xf numFmtId="0" fontId="27" fillId="2" borderId="62" xfId="0" applyFont="1" applyFill="1" applyBorder="1" applyAlignment="1" applyProtection="1">
      <alignment horizontal="center" wrapText="1"/>
      <protection hidden="1"/>
    </xf>
    <xf numFmtId="0" fontId="27" fillId="2" borderId="63" xfId="0" applyFont="1" applyFill="1" applyBorder="1" applyAlignment="1" applyProtection="1">
      <alignment horizontal="center" wrapText="1"/>
      <protection hidden="1"/>
    </xf>
    <xf numFmtId="0" fontId="27" fillId="2" borderId="0" xfId="0" applyFont="1" applyFill="1" applyAlignment="1">
      <alignment horizontal="center"/>
    </xf>
  </cellXfs>
  <cellStyles count="106">
    <cellStyle name="Comma" xfId="1" builtinId="3"/>
    <cellStyle name="Comma 2" xfId="5"/>
    <cellStyle name="Currency" xfId="2" builtinId="4"/>
    <cellStyle name="Currency 2" xfId="23"/>
    <cellStyle name="Currency 2 2" xfId="47"/>
    <cellStyle name="Currency 2 2 2" xfId="97"/>
    <cellStyle name="Currency 2 3" xfId="73"/>
    <cellStyle name="Currency 3" xfId="25"/>
    <cellStyle name="Currency 3 2" xfId="49"/>
    <cellStyle name="Currency 3 2 2" xfId="99"/>
    <cellStyle name="Currency 3 3" xfId="75"/>
    <cellStyle name="Currency 4" xfId="27"/>
    <cellStyle name="Currency 4 2" xfId="51"/>
    <cellStyle name="Currency 4 2 2" xfId="101"/>
    <cellStyle name="Currency 4 3" xfId="77"/>
    <cellStyle name="Currency 5" xfId="29"/>
    <cellStyle name="Currency 5 2" xfId="53"/>
    <cellStyle name="Currency 5 2 2" xfId="103"/>
    <cellStyle name="Currency 5 3" xfId="79"/>
    <cellStyle name="Currency 6" xfId="55"/>
    <cellStyle name="Currency 6 2" xfId="105"/>
    <cellStyle name="Normal" xfId="0" builtinId="0"/>
    <cellStyle name="Normal 10" xfId="13"/>
    <cellStyle name="Normal 10 2" xfId="37"/>
    <cellStyle name="Normal 10 2 2" xfId="87"/>
    <cellStyle name="Normal 10 3" xfId="63"/>
    <cellStyle name="Normal 11" xfId="14"/>
    <cellStyle name="Normal 11 2" xfId="38"/>
    <cellStyle name="Normal 11 2 2" xfId="88"/>
    <cellStyle name="Normal 11 3" xfId="64"/>
    <cellStyle name="Normal 12" xfId="15"/>
    <cellStyle name="Normal 12 2" xfId="39"/>
    <cellStyle name="Normal 12 2 2" xfId="89"/>
    <cellStyle name="Normal 12 3" xfId="65"/>
    <cellStyle name="Normal 13" xfId="16"/>
    <cellStyle name="Normal 13 2" xfId="40"/>
    <cellStyle name="Normal 13 2 2" xfId="90"/>
    <cellStyle name="Normal 13 3" xfId="66"/>
    <cellStyle name="Normal 14" xfId="17"/>
    <cellStyle name="Normal 14 2" xfId="41"/>
    <cellStyle name="Normal 14 2 2" xfId="91"/>
    <cellStyle name="Normal 14 3" xfId="67"/>
    <cellStyle name="Normal 15" xfId="18"/>
    <cellStyle name="Normal 15 2" xfId="42"/>
    <cellStyle name="Normal 15 2 2" xfId="92"/>
    <cellStyle name="Normal 15 3" xfId="68"/>
    <cellStyle name="Normal 16" xfId="19"/>
    <cellStyle name="Normal 16 2" xfId="43"/>
    <cellStyle name="Normal 16 2 2" xfId="93"/>
    <cellStyle name="Normal 16 3" xfId="69"/>
    <cellStyle name="Normal 17" xfId="20"/>
    <cellStyle name="Normal 17 2" xfId="44"/>
    <cellStyle name="Normal 17 2 2" xfId="94"/>
    <cellStyle name="Normal 17 3" xfId="70"/>
    <cellStyle name="Normal 18" xfId="21"/>
    <cellStyle name="Normal 18 2" xfId="45"/>
    <cellStyle name="Normal 18 2 2" xfId="95"/>
    <cellStyle name="Normal 18 3" xfId="71"/>
    <cellStyle name="Normal 19" xfId="22"/>
    <cellStyle name="Normal 19 2" xfId="46"/>
    <cellStyle name="Normal 19 2 2" xfId="96"/>
    <cellStyle name="Normal 19 3" xfId="72"/>
    <cellStyle name="Normal 2" xfId="4"/>
    <cellStyle name="Normal 2 2" xfId="8"/>
    <cellStyle name="Normal 20" xfId="24"/>
    <cellStyle name="Normal 20 2" xfId="48"/>
    <cellStyle name="Normal 20 2 2" xfId="98"/>
    <cellStyle name="Normal 20 3" xfId="74"/>
    <cellStyle name="Normal 21" xfId="26"/>
    <cellStyle name="Normal 21 2" xfId="50"/>
    <cellStyle name="Normal 21 2 2" xfId="100"/>
    <cellStyle name="Normal 21 3" xfId="76"/>
    <cellStyle name="Normal 22" xfId="28"/>
    <cellStyle name="Normal 22 2" xfId="52"/>
    <cellStyle name="Normal 22 2 2" xfId="102"/>
    <cellStyle name="Normal 22 3" xfId="78"/>
    <cellStyle name="Normal 23" xfId="54"/>
    <cellStyle name="Normal 23 2" xfId="104"/>
    <cellStyle name="Normal 3" xfId="3"/>
    <cellStyle name="Normal 3 2" xfId="30"/>
    <cellStyle name="Normal 3 2 2" xfId="80"/>
    <cellStyle name="Normal 3 3" xfId="56"/>
    <cellStyle name="Normal 4" xfId="6"/>
    <cellStyle name="Normal 4 2" xfId="31"/>
    <cellStyle name="Normal 4 2 2" xfId="81"/>
    <cellStyle name="Normal 4 3" xfId="57"/>
    <cellStyle name="Normal 5" xfId="7"/>
    <cellStyle name="Normal 5 2" xfId="32"/>
    <cellStyle name="Normal 5 2 2" xfId="82"/>
    <cellStyle name="Normal 5 3" xfId="58"/>
    <cellStyle name="Normal 6" xfId="9"/>
    <cellStyle name="Normal 6 2" xfId="33"/>
    <cellStyle name="Normal 6 2 2" xfId="83"/>
    <cellStyle name="Normal 6 3" xfId="59"/>
    <cellStyle name="Normal 7" xfId="10"/>
    <cellStyle name="Normal 7 2" xfId="34"/>
    <cellStyle name="Normal 7 2 2" xfId="84"/>
    <cellStyle name="Normal 7 3" xfId="60"/>
    <cellStyle name="Normal 8" xfId="11"/>
    <cellStyle name="Normal 8 2" xfId="35"/>
    <cellStyle name="Normal 8 2 2" xfId="85"/>
    <cellStyle name="Normal 8 3" xfId="61"/>
    <cellStyle name="Normal 9" xfId="12"/>
    <cellStyle name="Normal 9 2" xfId="36"/>
    <cellStyle name="Normal 9 2 2" xfId="86"/>
    <cellStyle name="Normal 9 3" xfId="62"/>
  </cellStyles>
  <dxfs count="3"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indexed="13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G100"/>
  <sheetViews>
    <sheetView tabSelected="1" zoomScale="85" zoomScaleNormal="85" workbookViewId="0">
      <selection activeCell="O12" sqref="O12"/>
    </sheetView>
  </sheetViews>
  <sheetFormatPr defaultRowHeight="12.75" x14ac:dyDescent="0.2"/>
  <cols>
    <col min="1" max="1" width="7.140625" customWidth="1"/>
    <col min="2" max="4" width="13.7109375" customWidth="1"/>
    <col min="5" max="5" width="20.140625" customWidth="1"/>
    <col min="6" max="6" width="8" customWidth="1"/>
    <col min="7" max="8" width="11.7109375" customWidth="1"/>
    <col min="9" max="9" width="13.5703125" customWidth="1"/>
    <col min="10" max="11" width="12.7109375" customWidth="1"/>
  </cols>
  <sheetData>
    <row r="1" spans="1:33" ht="19.5" thickTop="1" thickBot="1" x14ac:dyDescent="0.3">
      <c r="A1" s="83"/>
      <c r="B1" s="84" t="s">
        <v>5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6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1"/>
      <c r="AE1" s="81"/>
      <c r="AF1" s="81"/>
      <c r="AG1" s="81"/>
    </row>
    <row r="2" spans="1:33" ht="17.25" thickTop="1" thickBot="1" x14ac:dyDescent="0.3">
      <c r="A2" s="87"/>
      <c r="B2" s="88" t="s">
        <v>6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90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</row>
    <row r="3" spans="1:33" ht="16.5" thickTop="1" thickBot="1" x14ac:dyDescent="0.25">
      <c r="A3" s="87"/>
      <c r="B3" s="91" t="s">
        <v>7</v>
      </c>
      <c r="C3" s="89"/>
      <c r="D3" s="89"/>
      <c r="E3" s="89"/>
      <c r="F3" s="89"/>
      <c r="G3" s="89"/>
      <c r="H3" s="89"/>
      <c r="I3" s="89"/>
      <c r="J3" s="89"/>
      <c r="K3" s="89"/>
      <c r="L3" s="89"/>
      <c r="M3" s="90"/>
      <c r="N3" s="81"/>
      <c r="O3" s="81"/>
      <c r="P3" s="81"/>
      <c r="Q3" s="81"/>
      <c r="R3" s="81"/>
      <c r="S3" s="81"/>
      <c r="T3" s="81"/>
      <c r="U3" s="81"/>
      <c r="V3" s="81"/>
      <c r="W3" s="81"/>
      <c r="X3" s="81"/>
      <c r="Y3" s="81"/>
      <c r="Z3" s="81"/>
      <c r="AA3" s="81"/>
      <c r="AB3" s="81"/>
      <c r="AC3" s="81"/>
      <c r="AD3" s="81"/>
      <c r="AE3" s="81"/>
      <c r="AF3" s="81"/>
      <c r="AG3" s="81"/>
    </row>
    <row r="4" spans="1:33" ht="16.5" thickTop="1" thickBot="1" x14ac:dyDescent="0.25">
      <c r="A4" s="92"/>
      <c r="B4" s="93" t="s">
        <v>8</v>
      </c>
      <c r="C4" s="94"/>
      <c r="D4" s="94"/>
      <c r="E4" s="94"/>
      <c r="F4" s="94"/>
      <c r="G4" s="94"/>
      <c r="H4" s="94"/>
      <c r="I4" s="94"/>
      <c r="J4" s="94"/>
      <c r="K4" s="94"/>
      <c r="L4" s="94"/>
      <c r="M4" s="95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  <c r="Y4" s="81"/>
      <c r="Z4" s="81"/>
      <c r="AA4" s="81"/>
      <c r="AB4" s="81"/>
      <c r="AC4" s="81"/>
      <c r="AD4" s="81"/>
      <c r="AE4" s="81"/>
      <c r="AF4" s="81"/>
      <c r="AG4" s="81"/>
    </row>
    <row r="5" spans="1:33" ht="13.5" thickTop="1" x14ac:dyDescent="0.2">
      <c r="A5" s="96"/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103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</row>
    <row r="6" spans="1:33" ht="18" x14ac:dyDescent="0.25">
      <c r="A6" s="97"/>
      <c r="B6" s="148" t="s">
        <v>9</v>
      </c>
      <c r="C6" s="149"/>
      <c r="D6" s="149"/>
      <c r="E6" s="150"/>
      <c r="F6" s="100"/>
      <c r="G6" s="101"/>
      <c r="H6" s="148" t="s">
        <v>10</v>
      </c>
      <c r="I6" s="149"/>
      <c r="J6" s="149"/>
      <c r="K6" s="150"/>
      <c r="L6" s="100"/>
      <c r="M6" s="104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</row>
    <row r="7" spans="1:33" x14ac:dyDescent="0.2">
      <c r="A7" s="97"/>
      <c r="B7" s="107" t="s">
        <v>1</v>
      </c>
      <c r="C7" s="108" t="s">
        <v>11</v>
      </c>
      <c r="D7" s="108" t="s">
        <v>3</v>
      </c>
      <c r="E7" s="108" t="s">
        <v>4</v>
      </c>
      <c r="F7" s="100"/>
      <c r="G7" s="101"/>
      <c r="H7" s="107" t="s">
        <v>1</v>
      </c>
      <c r="I7" s="108" t="s">
        <v>11</v>
      </c>
      <c r="J7" s="108" t="s">
        <v>3</v>
      </c>
      <c r="K7" s="108" t="s">
        <v>4</v>
      </c>
      <c r="L7" s="151"/>
      <c r="M7" s="104"/>
      <c r="N7" s="81"/>
      <c r="O7" s="81"/>
      <c r="P7" s="81"/>
      <c r="Q7" s="81"/>
      <c r="R7" s="81"/>
      <c r="S7" s="81"/>
      <c r="T7" s="81"/>
      <c r="U7" s="81"/>
      <c r="V7" s="81"/>
      <c r="W7" s="81"/>
      <c r="X7" s="81"/>
      <c r="Y7" s="81"/>
      <c r="Z7" s="81"/>
      <c r="AA7" s="81"/>
      <c r="AB7" s="81"/>
      <c r="AC7" s="81"/>
      <c r="AD7" s="81"/>
      <c r="AE7" s="81"/>
      <c r="AF7" s="81"/>
      <c r="AG7" s="81"/>
    </row>
    <row r="8" spans="1:33" x14ac:dyDescent="0.2">
      <c r="A8" s="97"/>
      <c r="B8" s="7">
        <v>45658</v>
      </c>
      <c r="C8" s="109">
        <f>VLOOKUP(B8,MaintainIndexes,2,FALSE)</f>
        <v>583.36</v>
      </c>
      <c r="D8" s="110">
        <f>VLOOKUP($B8,MaintainIndexes,3,FALSE)</f>
        <v>2.5889000000000002</v>
      </c>
      <c r="E8" s="110">
        <f>VLOOKUP($B8,MaintainIndexes,4,FALSE)</f>
        <v>2.2722224999999998</v>
      </c>
      <c r="F8" s="100"/>
      <c r="G8" s="101" t="s">
        <v>12</v>
      </c>
      <c r="H8" s="8">
        <v>45658</v>
      </c>
      <c r="I8" s="109">
        <f>VLOOKUP(H8,MaintainIndexes,2,FALSE)</f>
        <v>583.36</v>
      </c>
      <c r="J8" s="110">
        <f>VLOOKUP($H8,MaintainIndexes,3,FALSE)</f>
        <v>2.5889000000000002</v>
      </c>
      <c r="K8" s="110">
        <f>VLOOKUP($H8,MaintainIndexes,4,FALSE)</f>
        <v>2.2722224999999998</v>
      </c>
      <c r="L8" s="151"/>
      <c r="M8" s="104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</row>
    <row r="9" spans="1:33" ht="13.5" thickBot="1" x14ac:dyDescent="0.25">
      <c r="A9" s="98"/>
      <c r="B9" s="102"/>
      <c r="C9" s="102"/>
      <c r="D9" s="106"/>
      <c r="E9" s="106"/>
      <c r="F9" s="102"/>
      <c r="G9" s="102"/>
      <c r="H9" s="102"/>
      <c r="I9" s="102"/>
      <c r="J9" s="102"/>
      <c r="K9" s="102"/>
      <c r="L9" s="102"/>
      <c r="M9" s="105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</row>
    <row r="10" spans="1:33" ht="13.5" thickTop="1" x14ac:dyDescent="0.2">
      <c r="A10" s="97"/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4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</row>
    <row r="11" spans="1:33" x14ac:dyDescent="0.2">
      <c r="A11" s="97"/>
      <c r="B11" s="152" t="s">
        <v>13</v>
      </c>
      <c r="C11" s="152"/>
      <c r="D11" s="152"/>
      <c r="E11" s="152"/>
      <c r="F11" s="152" t="s">
        <v>14</v>
      </c>
      <c r="G11" s="152" t="s">
        <v>15</v>
      </c>
      <c r="H11" s="152"/>
      <c r="I11" s="152" t="s">
        <v>16</v>
      </c>
      <c r="J11" s="152"/>
      <c r="K11" s="152"/>
      <c r="L11" s="100"/>
      <c r="M11" s="104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1"/>
      <c r="AB11" s="81"/>
      <c r="AC11" s="81"/>
      <c r="AD11" s="81"/>
      <c r="AE11" s="81"/>
      <c r="AF11" s="81"/>
      <c r="AG11" s="81"/>
    </row>
    <row r="12" spans="1:33" x14ac:dyDescent="0.2">
      <c r="A12" s="97"/>
      <c r="B12" s="152"/>
      <c r="C12" s="152"/>
      <c r="D12" s="152"/>
      <c r="E12" s="152"/>
      <c r="F12" s="152"/>
      <c r="G12" s="121" t="s">
        <v>3</v>
      </c>
      <c r="H12" s="121" t="s">
        <v>4</v>
      </c>
      <c r="I12" s="122" t="s">
        <v>3</v>
      </c>
      <c r="J12" s="122" t="s">
        <v>4</v>
      </c>
      <c r="K12" s="122" t="s">
        <v>17</v>
      </c>
      <c r="L12" s="100"/>
      <c r="M12" s="104"/>
      <c r="N12" s="81"/>
      <c r="O12" s="81"/>
      <c r="P12" s="81"/>
      <c r="Q12" s="81"/>
      <c r="R12" s="81"/>
      <c r="S12" s="81"/>
      <c r="T12" s="81"/>
      <c r="U12" s="81"/>
      <c r="V12" s="81"/>
      <c r="W12" s="81"/>
      <c r="X12" s="81"/>
      <c r="Y12" s="81"/>
      <c r="Z12" s="81"/>
      <c r="AA12" s="81"/>
      <c r="AB12" s="81"/>
      <c r="AC12" s="81"/>
      <c r="AD12" s="81"/>
      <c r="AE12" s="81"/>
      <c r="AF12" s="81"/>
      <c r="AG12" s="81"/>
    </row>
    <row r="13" spans="1:33" x14ac:dyDescent="0.2">
      <c r="A13" s="97"/>
      <c r="B13" s="153" t="s">
        <v>18</v>
      </c>
      <c r="C13" s="153"/>
      <c r="D13" s="153"/>
      <c r="E13" s="153"/>
      <c r="F13" s="111" t="s">
        <v>19</v>
      </c>
      <c r="G13" s="112">
        <v>0.28999999999999998</v>
      </c>
      <c r="H13" s="112">
        <v>0.15</v>
      </c>
      <c r="I13" s="113">
        <f t="shared" ref="I13:I29" si="0">ROUND(G13*DieselChange,2)</f>
        <v>0</v>
      </c>
      <c r="J13" s="113">
        <f>ROUND(H13*UnleadedChange,2)</f>
        <v>0</v>
      </c>
      <c r="K13" s="113">
        <f>I13+J13</f>
        <v>0</v>
      </c>
      <c r="L13" s="100"/>
      <c r="M13" s="104"/>
      <c r="N13" s="81"/>
      <c r="O13" s="81"/>
      <c r="P13" s="81"/>
      <c r="Q13" s="81"/>
      <c r="R13" s="81"/>
      <c r="S13" s="81"/>
      <c r="T13" s="81"/>
      <c r="U13" s="81"/>
      <c r="V13" s="81"/>
      <c r="W13" s="81"/>
      <c r="X13" s="81"/>
      <c r="Y13" s="81"/>
      <c r="Z13" s="81"/>
      <c r="AA13" s="81"/>
      <c r="AB13" s="81"/>
      <c r="AC13" s="81"/>
      <c r="AD13" s="81"/>
      <c r="AE13" s="81"/>
      <c r="AF13" s="81"/>
      <c r="AG13" s="81"/>
    </row>
    <row r="14" spans="1:33" x14ac:dyDescent="0.2">
      <c r="A14" s="97"/>
      <c r="B14" s="153" t="s">
        <v>20</v>
      </c>
      <c r="C14" s="153"/>
      <c r="D14" s="153"/>
      <c r="E14" s="153"/>
      <c r="F14" s="111" t="s">
        <v>19</v>
      </c>
      <c r="G14" s="112">
        <v>0.28999999999999998</v>
      </c>
      <c r="H14" s="112">
        <v>0.15</v>
      </c>
      <c r="I14" s="113">
        <f t="shared" si="0"/>
        <v>0</v>
      </c>
      <c r="J14" s="113">
        <f t="shared" ref="J14:J29" si="1">ROUND(H14*UnleadedChange,2)</f>
        <v>0</v>
      </c>
      <c r="K14" s="113">
        <f t="shared" ref="K14:K29" si="2">I14+J14</f>
        <v>0</v>
      </c>
      <c r="L14" s="100"/>
      <c r="M14" s="104"/>
      <c r="N14" s="81"/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</row>
    <row r="15" spans="1:33" x14ac:dyDescent="0.2">
      <c r="A15" s="97"/>
      <c r="B15" s="153" t="s">
        <v>21</v>
      </c>
      <c r="C15" s="153"/>
      <c r="D15" s="153"/>
      <c r="E15" s="153"/>
      <c r="F15" s="111" t="s">
        <v>22</v>
      </c>
      <c r="G15" s="112">
        <v>0.05</v>
      </c>
      <c r="H15" s="112">
        <v>0.02</v>
      </c>
      <c r="I15" s="113">
        <f t="shared" si="0"/>
        <v>0</v>
      </c>
      <c r="J15" s="113">
        <f t="shared" si="1"/>
        <v>0</v>
      </c>
      <c r="K15" s="113">
        <f t="shared" si="2"/>
        <v>0</v>
      </c>
      <c r="L15" s="100"/>
      <c r="M15" s="104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81"/>
    </row>
    <row r="16" spans="1:33" x14ac:dyDescent="0.2">
      <c r="A16" s="97"/>
      <c r="B16" s="153" t="s">
        <v>23</v>
      </c>
      <c r="C16" s="153"/>
      <c r="D16" s="153"/>
      <c r="E16" s="153"/>
      <c r="F16" s="111" t="s">
        <v>22</v>
      </c>
      <c r="G16" s="112">
        <v>0.06</v>
      </c>
      <c r="H16" s="112">
        <v>0.03</v>
      </c>
      <c r="I16" s="113">
        <f t="shared" si="0"/>
        <v>0</v>
      </c>
      <c r="J16" s="113">
        <f t="shared" si="1"/>
        <v>0</v>
      </c>
      <c r="K16" s="113">
        <f t="shared" si="2"/>
        <v>0</v>
      </c>
      <c r="L16" s="100"/>
      <c r="M16" s="104"/>
      <c r="N16" s="81"/>
      <c r="O16" s="81"/>
      <c r="P16" s="81"/>
      <c r="Q16" s="81"/>
      <c r="R16" s="81"/>
      <c r="S16" s="81"/>
      <c r="T16" s="81"/>
      <c r="U16" s="81"/>
      <c r="V16" s="81"/>
      <c r="W16" s="81"/>
      <c r="X16" s="81"/>
      <c r="Y16" s="81"/>
      <c r="Z16" s="81"/>
      <c r="AA16" s="81"/>
      <c r="AB16" s="81"/>
      <c r="AC16" s="81"/>
      <c r="AD16" s="81"/>
      <c r="AE16" s="81"/>
      <c r="AF16" s="81"/>
      <c r="AG16" s="81"/>
    </row>
    <row r="17" spans="1:33" x14ac:dyDescent="0.2">
      <c r="A17" s="97"/>
      <c r="B17" s="153" t="s">
        <v>24</v>
      </c>
      <c r="C17" s="153"/>
      <c r="D17" s="153"/>
      <c r="E17" s="153"/>
      <c r="F17" s="111" t="s">
        <v>22</v>
      </c>
      <c r="G17" s="112">
        <v>0.1</v>
      </c>
      <c r="H17" s="112">
        <v>0.06</v>
      </c>
      <c r="I17" s="113">
        <f t="shared" si="0"/>
        <v>0</v>
      </c>
      <c r="J17" s="113">
        <f t="shared" si="1"/>
        <v>0</v>
      </c>
      <c r="K17" s="113">
        <f t="shared" si="2"/>
        <v>0</v>
      </c>
      <c r="L17" s="100"/>
      <c r="M17" s="104"/>
      <c r="N17" s="81"/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</row>
    <row r="18" spans="1:33" x14ac:dyDescent="0.2">
      <c r="A18" s="97"/>
      <c r="B18" s="153" t="s">
        <v>25</v>
      </c>
      <c r="C18" s="153"/>
      <c r="D18" s="153"/>
      <c r="E18" s="153"/>
      <c r="F18" s="111" t="s">
        <v>22</v>
      </c>
      <c r="G18" s="112">
        <v>0.13</v>
      </c>
      <c r="H18" s="112">
        <v>0.06</v>
      </c>
      <c r="I18" s="113">
        <f t="shared" si="0"/>
        <v>0</v>
      </c>
      <c r="J18" s="113">
        <f t="shared" si="1"/>
        <v>0</v>
      </c>
      <c r="K18" s="113">
        <f t="shared" si="2"/>
        <v>0</v>
      </c>
      <c r="L18" s="100"/>
      <c r="M18" s="104"/>
      <c r="N18" s="81"/>
      <c r="O18" s="81"/>
      <c r="P18" s="81"/>
      <c r="Q18" s="81"/>
      <c r="R18" s="81"/>
      <c r="S18" s="81"/>
      <c r="T18" s="81"/>
      <c r="U18" s="81"/>
      <c r="V18" s="81"/>
      <c r="W18" s="81"/>
      <c r="X18" s="81"/>
      <c r="Y18" s="81"/>
      <c r="Z18" s="81"/>
      <c r="AA18" s="81"/>
      <c r="AB18" s="81"/>
      <c r="AC18" s="81"/>
      <c r="AD18" s="81"/>
      <c r="AE18" s="81"/>
      <c r="AF18" s="81"/>
      <c r="AG18" s="81"/>
    </row>
    <row r="19" spans="1:33" x14ac:dyDescent="0.2">
      <c r="A19" s="97"/>
      <c r="B19" s="153" t="s">
        <v>91</v>
      </c>
      <c r="C19" s="153"/>
      <c r="D19" s="153"/>
      <c r="E19" s="153"/>
      <c r="F19" s="111" t="s">
        <v>22</v>
      </c>
      <c r="G19" s="112">
        <v>0.16</v>
      </c>
      <c r="H19" s="112">
        <v>0.1</v>
      </c>
      <c r="I19" s="113">
        <f>ROUND(G19*DieselChange,2)</f>
        <v>0</v>
      </c>
      <c r="J19" s="113">
        <f>ROUND(H19*UnleadedChange,2)</f>
        <v>0</v>
      </c>
      <c r="K19" s="113">
        <f>I19+J19</f>
        <v>0</v>
      </c>
      <c r="L19" s="100"/>
      <c r="M19" s="104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1"/>
      <c r="AC19" s="81"/>
      <c r="AD19" s="81"/>
      <c r="AE19" s="81"/>
      <c r="AF19" s="81"/>
      <c r="AG19" s="81"/>
    </row>
    <row r="20" spans="1:33" x14ac:dyDescent="0.2">
      <c r="A20" s="97"/>
      <c r="B20" s="153" t="s">
        <v>26</v>
      </c>
      <c r="C20" s="153"/>
      <c r="D20" s="153"/>
      <c r="E20" s="153"/>
      <c r="F20" s="111" t="s">
        <v>27</v>
      </c>
      <c r="G20" s="112">
        <v>2.9</v>
      </c>
      <c r="H20" s="112">
        <v>0.71</v>
      </c>
      <c r="I20" s="113">
        <f t="shared" si="0"/>
        <v>0</v>
      </c>
      <c r="J20" s="113">
        <f t="shared" si="1"/>
        <v>0</v>
      </c>
      <c r="K20" s="113">
        <f t="shared" si="2"/>
        <v>0</v>
      </c>
      <c r="L20" s="100"/>
      <c r="M20" s="104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</row>
    <row r="21" spans="1:33" x14ac:dyDescent="0.2">
      <c r="A21" s="97"/>
      <c r="B21" s="153" t="s">
        <v>28</v>
      </c>
      <c r="C21" s="153"/>
      <c r="D21" s="153"/>
      <c r="E21" s="153"/>
      <c r="F21" s="111" t="s">
        <v>22</v>
      </c>
      <c r="G21" s="112">
        <v>0.64</v>
      </c>
      <c r="H21" s="112">
        <v>0.16</v>
      </c>
      <c r="I21" s="113">
        <f t="shared" si="0"/>
        <v>0</v>
      </c>
      <c r="J21" s="113">
        <f t="shared" si="1"/>
        <v>0</v>
      </c>
      <c r="K21" s="113">
        <f t="shared" si="2"/>
        <v>0</v>
      </c>
      <c r="L21" s="100"/>
      <c r="M21" s="104"/>
      <c r="N21" s="81"/>
      <c r="O21" s="81"/>
      <c r="P21" s="81"/>
      <c r="Q21" s="81"/>
      <c r="R21" s="81"/>
      <c r="S21" s="81"/>
      <c r="T21" s="81"/>
      <c r="U21" s="81"/>
      <c r="V21" s="81"/>
      <c r="W21" s="81"/>
      <c r="X21" s="81"/>
      <c r="Y21" s="81"/>
      <c r="Z21" s="81"/>
      <c r="AA21" s="81"/>
      <c r="AB21" s="81"/>
      <c r="AC21" s="81"/>
      <c r="AD21" s="81"/>
      <c r="AE21" s="81"/>
      <c r="AF21" s="81"/>
      <c r="AG21" s="81"/>
    </row>
    <row r="22" spans="1:33" x14ac:dyDescent="0.2">
      <c r="A22" s="97"/>
      <c r="B22" s="153" t="s">
        <v>29</v>
      </c>
      <c r="C22" s="153"/>
      <c r="D22" s="153"/>
      <c r="E22" s="153"/>
      <c r="F22" s="111" t="s">
        <v>22</v>
      </c>
      <c r="G22" s="112">
        <v>0.96</v>
      </c>
      <c r="H22" s="112">
        <v>0.23</v>
      </c>
      <c r="I22" s="113">
        <f t="shared" si="0"/>
        <v>0</v>
      </c>
      <c r="J22" s="113">
        <f t="shared" si="1"/>
        <v>0</v>
      </c>
      <c r="K22" s="113">
        <f t="shared" si="2"/>
        <v>0</v>
      </c>
      <c r="L22" s="100"/>
      <c r="M22" s="104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</row>
    <row r="23" spans="1:33" x14ac:dyDescent="0.2">
      <c r="A23" s="97"/>
      <c r="B23" s="153" t="s">
        <v>30</v>
      </c>
      <c r="C23" s="153"/>
      <c r="D23" s="153"/>
      <c r="E23" s="153"/>
      <c r="F23" s="111" t="s">
        <v>22</v>
      </c>
      <c r="G23" s="112">
        <v>1.28</v>
      </c>
      <c r="H23" s="112">
        <v>0.31</v>
      </c>
      <c r="I23" s="113">
        <f t="shared" si="0"/>
        <v>0</v>
      </c>
      <c r="J23" s="113">
        <f t="shared" si="1"/>
        <v>0</v>
      </c>
      <c r="K23" s="113">
        <f t="shared" si="2"/>
        <v>0</v>
      </c>
      <c r="L23" s="100"/>
      <c r="M23" s="104"/>
      <c r="N23" s="81"/>
      <c r="O23" s="81"/>
      <c r="P23" s="81"/>
      <c r="Q23" s="81"/>
      <c r="R23" s="81"/>
      <c r="S23" s="81"/>
      <c r="T23" s="81"/>
      <c r="U23" s="81"/>
      <c r="V23" s="81"/>
      <c r="W23" s="81"/>
      <c r="X23" s="81"/>
      <c r="Y23" s="81"/>
      <c r="Z23" s="81"/>
      <c r="AA23" s="81"/>
      <c r="AB23" s="81"/>
      <c r="AC23" s="81"/>
      <c r="AD23" s="81"/>
      <c r="AE23" s="81"/>
      <c r="AF23" s="81"/>
      <c r="AG23" s="81"/>
    </row>
    <row r="24" spans="1:33" x14ac:dyDescent="0.2">
      <c r="A24" s="97"/>
      <c r="B24" s="153" t="s">
        <v>31</v>
      </c>
      <c r="C24" s="153"/>
      <c r="D24" s="153"/>
      <c r="E24" s="153"/>
      <c r="F24" s="111" t="s">
        <v>22</v>
      </c>
      <c r="G24" s="112">
        <v>1.6</v>
      </c>
      <c r="H24" s="112">
        <v>0.39</v>
      </c>
      <c r="I24" s="113">
        <f t="shared" si="0"/>
        <v>0</v>
      </c>
      <c r="J24" s="113">
        <f t="shared" si="1"/>
        <v>0</v>
      </c>
      <c r="K24" s="113">
        <f t="shared" si="2"/>
        <v>0</v>
      </c>
      <c r="L24" s="100"/>
      <c r="M24" s="104"/>
      <c r="N24" s="81"/>
      <c r="O24" s="81"/>
      <c r="P24" s="81"/>
      <c r="Q24" s="81"/>
      <c r="R24" s="81"/>
      <c r="S24" s="81"/>
      <c r="T24" s="81"/>
      <c r="U24" s="81"/>
      <c r="V24" s="81"/>
      <c r="W24" s="81"/>
      <c r="X24" s="81"/>
      <c r="Y24" s="81"/>
      <c r="Z24" s="81"/>
      <c r="AA24" s="81"/>
      <c r="AB24" s="81"/>
      <c r="AC24" s="81"/>
      <c r="AD24" s="81"/>
      <c r="AE24" s="81"/>
      <c r="AF24" s="81"/>
      <c r="AG24" s="81"/>
    </row>
    <row r="25" spans="1:33" x14ac:dyDescent="0.2">
      <c r="A25" s="97"/>
      <c r="B25" s="153" t="s">
        <v>32</v>
      </c>
      <c r="C25" s="153"/>
      <c r="D25" s="153"/>
      <c r="E25" s="153"/>
      <c r="F25" s="111" t="s">
        <v>22</v>
      </c>
      <c r="G25" s="112">
        <v>1.91</v>
      </c>
      <c r="H25" s="112">
        <v>0.47</v>
      </c>
      <c r="I25" s="113">
        <f t="shared" si="0"/>
        <v>0</v>
      </c>
      <c r="J25" s="113">
        <f t="shared" si="1"/>
        <v>0</v>
      </c>
      <c r="K25" s="113">
        <f t="shared" si="2"/>
        <v>0</v>
      </c>
      <c r="L25" s="100"/>
      <c r="M25" s="104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  <c r="AC25" s="81"/>
      <c r="AD25" s="81"/>
      <c r="AE25" s="81"/>
      <c r="AF25" s="81"/>
      <c r="AG25" s="81"/>
    </row>
    <row r="26" spans="1:33" x14ac:dyDescent="0.2">
      <c r="A26" s="97"/>
      <c r="B26" s="153" t="s">
        <v>33</v>
      </c>
      <c r="C26" s="153"/>
      <c r="D26" s="153"/>
      <c r="E26" s="153"/>
      <c r="F26" s="111" t="s">
        <v>22</v>
      </c>
      <c r="G26" s="112">
        <v>0.25</v>
      </c>
      <c r="H26" s="112">
        <v>0.2</v>
      </c>
      <c r="I26" s="113">
        <f t="shared" si="0"/>
        <v>0</v>
      </c>
      <c r="J26" s="113">
        <f t="shared" si="1"/>
        <v>0</v>
      </c>
      <c r="K26" s="113">
        <f t="shared" si="2"/>
        <v>0</v>
      </c>
      <c r="L26" s="100"/>
      <c r="M26" s="104"/>
      <c r="N26" s="81"/>
      <c r="O26" s="81"/>
      <c r="P26" s="81"/>
      <c r="Q26" s="81"/>
      <c r="R26" s="81"/>
      <c r="S26" s="81"/>
      <c r="T26" s="81"/>
      <c r="U26" s="81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</row>
    <row r="27" spans="1:33" x14ac:dyDescent="0.2">
      <c r="A27" s="97"/>
      <c r="B27" s="153" t="s">
        <v>34</v>
      </c>
      <c r="C27" s="153"/>
      <c r="D27" s="153"/>
      <c r="E27" s="153"/>
      <c r="F27" s="111" t="s">
        <v>19</v>
      </c>
      <c r="G27" s="112">
        <v>1</v>
      </c>
      <c r="H27" s="112">
        <v>0.2</v>
      </c>
      <c r="I27" s="113">
        <f t="shared" si="0"/>
        <v>0</v>
      </c>
      <c r="J27" s="113">
        <f t="shared" si="1"/>
        <v>0</v>
      </c>
      <c r="K27" s="113">
        <f t="shared" si="2"/>
        <v>0</v>
      </c>
      <c r="L27" s="100"/>
      <c r="M27" s="104"/>
      <c r="N27" s="81"/>
      <c r="O27" s="81"/>
      <c r="P27" s="81"/>
      <c r="Q27" s="81"/>
      <c r="R27" s="81"/>
      <c r="S27" s="81"/>
      <c r="T27" s="81"/>
      <c r="U27" s="81"/>
      <c r="V27" s="81"/>
      <c r="W27" s="81"/>
      <c r="X27" s="81"/>
      <c r="Y27" s="81"/>
      <c r="Z27" s="81"/>
      <c r="AA27" s="81"/>
      <c r="AB27" s="81"/>
      <c r="AC27" s="81"/>
      <c r="AD27" s="81"/>
      <c r="AE27" s="81"/>
      <c r="AF27" s="81"/>
      <c r="AG27" s="81"/>
    </row>
    <row r="28" spans="1:33" x14ac:dyDescent="0.2">
      <c r="A28" s="97"/>
      <c r="B28" s="153" t="s">
        <v>35</v>
      </c>
      <c r="C28" s="153"/>
      <c r="D28" s="153"/>
      <c r="E28" s="153"/>
      <c r="F28" s="111" t="s">
        <v>36</v>
      </c>
      <c r="G28" s="112">
        <v>0.5</v>
      </c>
      <c r="H28" s="112">
        <v>0.15</v>
      </c>
      <c r="I28" s="113">
        <f t="shared" si="0"/>
        <v>0</v>
      </c>
      <c r="J28" s="113">
        <f t="shared" si="1"/>
        <v>0</v>
      </c>
      <c r="K28" s="113">
        <f t="shared" si="2"/>
        <v>0</v>
      </c>
      <c r="L28" s="100"/>
      <c r="M28" s="104"/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81"/>
      <c r="AA28" s="81"/>
      <c r="AB28" s="81"/>
      <c r="AC28" s="81"/>
      <c r="AD28" s="81"/>
      <c r="AE28" s="81"/>
      <c r="AF28" s="81"/>
      <c r="AG28" s="81"/>
    </row>
    <row r="29" spans="1:33" x14ac:dyDescent="0.2">
      <c r="A29" s="97"/>
      <c r="B29" s="153" t="s">
        <v>37</v>
      </c>
      <c r="C29" s="153"/>
      <c r="D29" s="153"/>
      <c r="E29" s="153"/>
      <c r="F29" s="111" t="s">
        <v>36</v>
      </c>
      <c r="G29" s="112">
        <v>0.75</v>
      </c>
      <c r="H29" s="112">
        <v>0.15</v>
      </c>
      <c r="I29" s="113">
        <f t="shared" si="0"/>
        <v>0</v>
      </c>
      <c r="J29" s="113">
        <f t="shared" si="1"/>
        <v>0</v>
      </c>
      <c r="K29" s="113">
        <f t="shared" si="2"/>
        <v>0</v>
      </c>
      <c r="L29" s="100"/>
      <c r="M29" s="104"/>
      <c r="N29" s="81"/>
      <c r="O29" s="81"/>
      <c r="P29" s="81"/>
      <c r="Q29" s="81"/>
      <c r="R29" s="81"/>
      <c r="S29" s="81"/>
      <c r="T29" s="81"/>
      <c r="U29" s="81"/>
      <c r="V29" s="81"/>
      <c r="W29" s="81"/>
      <c r="X29" s="81"/>
      <c r="Y29" s="81"/>
      <c r="Z29" s="81"/>
      <c r="AA29" s="81"/>
      <c r="AB29" s="81"/>
      <c r="AC29" s="81"/>
      <c r="AD29" s="81"/>
      <c r="AE29" s="81"/>
      <c r="AF29" s="81"/>
      <c r="AG29" s="81"/>
    </row>
    <row r="30" spans="1:33" x14ac:dyDescent="0.2">
      <c r="A30" s="97"/>
      <c r="B30" s="153" t="s">
        <v>92</v>
      </c>
      <c r="C30" s="153"/>
      <c r="D30" s="153"/>
      <c r="E30" s="153"/>
      <c r="F30" s="111" t="s">
        <v>19</v>
      </c>
      <c r="G30" s="112">
        <v>2.8</v>
      </c>
      <c r="H30" s="112">
        <v>0</v>
      </c>
      <c r="I30" s="113">
        <f t="shared" ref="I30" si="3">ROUND(G30*DieselChange,2)</f>
        <v>0</v>
      </c>
      <c r="J30" s="113">
        <f t="shared" ref="J30" si="4">ROUND(H30*UnleadedChange,2)</f>
        <v>0</v>
      </c>
      <c r="K30" s="113">
        <f t="shared" ref="K30" si="5">I30+J30</f>
        <v>0</v>
      </c>
      <c r="L30" s="100"/>
      <c r="M30" s="104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Z30" s="81"/>
      <c r="AA30" s="81"/>
      <c r="AB30" s="81"/>
      <c r="AC30" s="81"/>
      <c r="AD30" s="81"/>
      <c r="AE30" s="81"/>
      <c r="AF30" s="81"/>
      <c r="AG30" s="81"/>
    </row>
    <row r="31" spans="1:33" ht="13.5" thickBot="1" x14ac:dyDescent="0.25">
      <c r="A31" s="98"/>
      <c r="B31" s="123" t="s">
        <v>38</v>
      </c>
      <c r="C31" s="102"/>
      <c r="D31" s="102"/>
      <c r="E31" s="102"/>
      <c r="F31" s="102"/>
      <c r="G31" s="102"/>
      <c r="H31" s="102"/>
      <c r="I31" s="102"/>
      <c r="J31" s="102"/>
      <c r="K31" s="102"/>
      <c r="L31" s="102"/>
      <c r="M31" s="105"/>
      <c r="N31" s="81"/>
      <c r="O31" s="81"/>
      <c r="P31" s="81"/>
      <c r="Q31" s="81"/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1"/>
      <c r="AD31" s="81"/>
      <c r="AE31" s="81"/>
      <c r="AF31" s="81"/>
      <c r="AG31" s="81"/>
    </row>
    <row r="32" spans="1:33" ht="13.5" thickTop="1" x14ac:dyDescent="0.2">
      <c r="A32" s="124"/>
      <c r="B32" s="100"/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03"/>
      <c r="N32" s="82"/>
      <c r="O32" s="81"/>
      <c r="P32" s="81"/>
      <c r="Q32" s="81"/>
      <c r="R32" s="81"/>
      <c r="S32" s="81"/>
      <c r="T32" s="81"/>
      <c r="U32" s="81"/>
      <c r="V32" s="81"/>
      <c r="W32" s="81"/>
      <c r="X32" s="81"/>
      <c r="Y32" s="81"/>
      <c r="Z32" s="81"/>
      <c r="AA32" s="81"/>
      <c r="AB32" s="81"/>
      <c r="AC32" s="81"/>
      <c r="AD32" s="81"/>
      <c r="AE32" s="81"/>
      <c r="AF32" s="81"/>
      <c r="AG32" s="81"/>
    </row>
    <row r="33" spans="1:33" x14ac:dyDescent="0.2">
      <c r="A33" s="97"/>
      <c r="B33" s="154" t="s">
        <v>39</v>
      </c>
      <c r="C33" s="155"/>
      <c r="D33" s="155"/>
      <c r="E33" s="156"/>
      <c r="F33" s="152" t="s">
        <v>14</v>
      </c>
      <c r="G33" s="161" t="s">
        <v>40</v>
      </c>
      <c r="H33" s="161"/>
      <c r="I33" s="161" t="s">
        <v>41</v>
      </c>
      <c r="J33" s="161"/>
      <c r="K33" s="133"/>
      <c r="L33" s="134"/>
      <c r="M33" s="135"/>
      <c r="N33" s="82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1"/>
      <c r="AA33" s="81"/>
      <c r="AB33" s="81"/>
      <c r="AC33" s="81"/>
      <c r="AD33" s="81"/>
      <c r="AE33" s="81"/>
      <c r="AF33" s="81"/>
      <c r="AG33" s="81"/>
    </row>
    <row r="34" spans="1:33" x14ac:dyDescent="0.2">
      <c r="A34" s="97"/>
      <c r="B34" s="157"/>
      <c r="C34" s="158"/>
      <c r="D34" s="158"/>
      <c r="E34" s="159"/>
      <c r="F34" s="152"/>
      <c r="G34" s="161"/>
      <c r="H34" s="161"/>
      <c r="I34" s="161"/>
      <c r="J34" s="161"/>
      <c r="K34" s="136"/>
      <c r="L34" s="134"/>
      <c r="M34" s="135"/>
      <c r="N34" s="82"/>
      <c r="O34" s="81"/>
      <c r="P34" s="81"/>
      <c r="Q34" s="81"/>
      <c r="R34" s="81"/>
      <c r="S34" s="81"/>
      <c r="T34" s="81"/>
      <c r="U34" s="81"/>
      <c r="V34" s="81"/>
      <c r="W34" s="81"/>
      <c r="X34" s="81"/>
      <c r="Y34" s="81"/>
      <c r="Z34" s="81"/>
      <c r="AA34" s="81"/>
      <c r="AB34" s="81"/>
      <c r="AC34" s="81"/>
      <c r="AD34" s="81"/>
      <c r="AE34" s="81"/>
      <c r="AF34" s="81"/>
      <c r="AG34" s="81"/>
    </row>
    <row r="35" spans="1:33" x14ac:dyDescent="0.2">
      <c r="A35" s="97"/>
      <c r="B35" s="153" t="s">
        <v>42</v>
      </c>
      <c r="C35" s="153"/>
      <c r="D35" s="153"/>
      <c r="E35" s="153"/>
      <c r="F35" s="111" t="s">
        <v>27</v>
      </c>
      <c r="G35" s="160">
        <v>1</v>
      </c>
      <c r="H35" s="160"/>
      <c r="I35" s="145">
        <f t="shared" ref="I35:I41" si="6">ROUND((G35*AsphaltBinderChange),2)</f>
        <v>0</v>
      </c>
      <c r="J35" s="146"/>
      <c r="K35" s="136"/>
      <c r="L35" s="134"/>
      <c r="M35" s="135"/>
      <c r="N35" s="82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1"/>
      <c r="AD35" s="81"/>
      <c r="AE35" s="81"/>
      <c r="AF35" s="81"/>
      <c r="AG35" s="81"/>
    </row>
    <row r="36" spans="1:33" x14ac:dyDescent="0.2">
      <c r="A36" s="97"/>
      <c r="B36" s="153" t="s">
        <v>43</v>
      </c>
      <c r="C36" s="153"/>
      <c r="D36" s="153"/>
      <c r="E36" s="153"/>
      <c r="F36" s="111" t="s">
        <v>27</v>
      </c>
      <c r="G36" s="160">
        <v>1</v>
      </c>
      <c r="H36" s="160"/>
      <c r="I36" s="145">
        <f t="shared" si="6"/>
        <v>0</v>
      </c>
      <c r="J36" s="146"/>
      <c r="K36" s="136"/>
      <c r="L36" s="134"/>
      <c r="M36" s="135"/>
      <c r="N36" s="82"/>
      <c r="O36" s="81"/>
      <c r="P36" s="81"/>
      <c r="Q36" s="81"/>
      <c r="R36" s="81"/>
      <c r="S36" s="81"/>
      <c r="T36" s="81"/>
      <c r="U36" s="81"/>
      <c r="V36" s="81"/>
      <c r="W36" s="81"/>
      <c r="X36" s="81"/>
      <c r="Y36" s="81"/>
      <c r="Z36" s="81"/>
      <c r="AA36" s="81"/>
      <c r="AB36" s="81"/>
      <c r="AC36" s="81"/>
      <c r="AD36" s="81"/>
      <c r="AE36" s="81"/>
      <c r="AF36" s="81"/>
      <c r="AG36" s="81"/>
    </row>
    <row r="37" spans="1:33" x14ac:dyDescent="0.2">
      <c r="A37" s="97"/>
      <c r="B37" s="153" t="s">
        <v>44</v>
      </c>
      <c r="C37" s="153"/>
      <c r="D37" s="153"/>
      <c r="E37" s="153"/>
      <c r="F37" s="111" t="s">
        <v>22</v>
      </c>
      <c r="G37" s="160">
        <v>1.0999999999999999E-2</v>
      </c>
      <c r="H37" s="160"/>
      <c r="I37" s="145">
        <f t="shared" si="6"/>
        <v>0</v>
      </c>
      <c r="J37" s="146"/>
      <c r="K37" s="136"/>
      <c r="L37" s="134"/>
      <c r="M37" s="135"/>
      <c r="N37" s="82"/>
      <c r="O37" s="81"/>
      <c r="P37" s="81"/>
      <c r="Q37" s="81"/>
      <c r="R37" s="81"/>
      <c r="S37" s="81"/>
      <c r="T37" s="81"/>
      <c r="U37" s="81"/>
      <c r="V37" s="81"/>
      <c r="W37" s="81"/>
      <c r="X37" s="81"/>
      <c r="Y37" s="81"/>
      <c r="Z37" s="81"/>
      <c r="AA37" s="81"/>
      <c r="AB37" s="81"/>
      <c r="AC37" s="81"/>
      <c r="AD37" s="81"/>
      <c r="AE37" s="81"/>
      <c r="AF37" s="81"/>
      <c r="AG37" s="81"/>
    </row>
    <row r="38" spans="1:33" x14ac:dyDescent="0.2">
      <c r="A38" s="97"/>
      <c r="B38" s="153" t="s">
        <v>45</v>
      </c>
      <c r="C38" s="153"/>
      <c r="D38" s="153"/>
      <c r="E38" s="153"/>
      <c r="F38" s="111" t="s">
        <v>22</v>
      </c>
      <c r="G38" s="160">
        <v>1.6500000000000001E-2</v>
      </c>
      <c r="H38" s="160"/>
      <c r="I38" s="145">
        <f t="shared" si="6"/>
        <v>0</v>
      </c>
      <c r="J38" s="146"/>
      <c r="K38" s="136"/>
      <c r="L38" s="134"/>
      <c r="M38" s="135"/>
      <c r="N38" s="82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81"/>
      <c r="Z38" s="81"/>
      <c r="AA38" s="81"/>
      <c r="AB38" s="81"/>
      <c r="AC38" s="81"/>
      <c r="AD38" s="81"/>
      <c r="AE38" s="81"/>
      <c r="AF38" s="81"/>
      <c r="AG38" s="81"/>
    </row>
    <row r="39" spans="1:33" x14ac:dyDescent="0.2">
      <c r="A39" s="97"/>
      <c r="B39" s="153" t="s">
        <v>46</v>
      </c>
      <c r="C39" s="153"/>
      <c r="D39" s="153"/>
      <c r="E39" s="153"/>
      <c r="F39" s="111" t="s">
        <v>22</v>
      </c>
      <c r="G39" s="160">
        <v>2.1999999999999999E-2</v>
      </c>
      <c r="H39" s="160"/>
      <c r="I39" s="145">
        <f t="shared" si="6"/>
        <v>0</v>
      </c>
      <c r="J39" s="146"/>
      <c r="K39" s="136"/>
      <c r="L39" s="134"/>
      <c r="M39" s="135"/>
      <c r="N39" s="82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81"/>
      <c r="AB39" s="81"/>
      <c r="AC39" s="81"/>
      <c r="AD39" s="81"/>
      <c r="AE39" s="81"/>
      <c r="AF39" s="81"/>
      <c r="AG39" s="81"/>
    </row>
    <row r="40" spans="1:33" x14ac:dyDescent="0.2">
      <c r="A40" s="97"/>
      <c r="B40" s="153" t="s">
        <v>47</v>
      </c>
      <c r="C40" s="153"/>
      <c r="D40" s="153"/>
      <c r="E40" s="153"/>
      <c r="F40" s="111" t="s">
        <v>22</v>
      </c>
      <c r="G40" s="160">
        <v>2.75E-2</v>
      </c>
      <c r="H40" s="160"/>
      <c r="I40" s="145">
        <f t="shared" si="6"/>
        <v>0</v>
      </c>
      <c r="J40" s="146"/>
      <c r="K40" s="136"/>
      <c r="L40" s="134"/>
      <c r="M40" s="135"/>
      <c r="N40" s="82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</row>
    <row r="41" spans="1:33" x14ac:dyDescent="0.2">
      <c r="A41" s="97"/>
      <c r="B41" s="153" t="s">
        <v>48</v>
      </c>
      <c r="C41" s="153"/>
      <c r="D41" s="153"/>
      <c r="E41" s="153"/>
      <c r="F41" s="111" t="s">
        <v>22</v>
      </c>
      <c r="G41" s="160">
        <v>3.3000000000000002E-2</v>
      </c>
      <c r="H41" s="160"/>
      <c r="I41" s="145">
        <f t="shared" si="6"/>
        <v>0</v>
      </c>
      <c r="J41" s="146"/>
      <c r="K41" s="136"/>
      <c r="L41" s="134"/>
      <c r="M41" s="135"/>
      <c r="N41" s="82"/>
      <c r="O41" s="81"/>
      <c r="P41" s="81"/>
      <c r="Q41" s="81"/>
      <c r="R41" s="81"/>
      <c r="S41" s="81"/>
      <c r="T41" s="81"/>
      <c r="U41" s="81"/>
      <c r="V41" s="81"/>
      <c r="W41" s="81"/>
      <c r="X41" s="81"/>
      <c r="Y41" s="81"/>
      <c r="Z41" s="81"/>
      <c r="AA41" s="81"/>
      <c r="AB41" s="81"/>
      <c r="AC41" s="81"/>
      <c r="AD41" s="81"/>
      <c r="AE41" s="81"/>
      <c r="AF41" s="81"/>
      <c r="AG41" s="81"/>
    </row>
    <row r="42" spans="1:33" x14ac:dyDescent="0.2">
      <c r="A42" s="97"/>
      <c r="B42" s="114" t="s">
        <v>78</v>
      </c>
      <c r="C42" s="114"/>
      <c r="D42" s="114"/>
      <c r="E42" s="114"/>
      <c r="F42" s="111" t="s">
        <v>22</v>
      </c>
      <c r="G42" s="143">
        <v>7.7446808510638304E-4</v>
      </c>
      <c r="H42" s="144"/>
      <c r="I42" s="145">
        <f t="shared" ref="I42:I53" si="7">ROUND((G42*AsphaltBinderChange),2)</f>
        <v>0</v>
      </c>
      <c r="J42" s="146"/>
      <c r="K42" s="136"/>
      <c r="L42" s="134"/>
      <c r="M42" s="135"/>
      <c r="N42" s="82"/>
      <c r="O42" s="81"/>
      <c r="P42" s="81"/>
      <c r="Q42" s="81"/>
      <c r="R42" s="81"/>
      <c r="S42" s="81"/>
      <c r="T42" s="81"/>
      <c r="U42" s="81"/>
      <c r="V42" s="81"/>
      <c r="W42" s="81"/>
      <c r="X42" s="81"/>
      <c r="Y42" s="81"/>
      <c r="Z42" s="81"/>
      <c r="AA42" s="81"/>
      <c r="AB42" s="81"/>
      <c r="AC42" s="81"/>
      <c r="AD42" s="81"/>
      <c r="AE42" s="81"/>
      <c r="AF42" s="81"/>
      <c r="AG42" s="81"/>
    </row>
    <row r="43" spans="1:33" x14ac:dyDescent="0.2">
      <c r="A43" s="97"/>
      <c r="B43" s="115" t="s">
        <v>84</v>
      </c>
      <c r="C43" s="116"/>
      <c r="D43" s="116"/>
      <c r="E43" s="117"/>
      <c r="F43" s="111" t="s">
        <v>22</v>
      </c>
      <c r="G43" s="162">
        <v>2.2680851063829801E-3</v>
      </c>
      <c r="H43" s="163"/>
      <c r="I43" s="145">
        <f>ROUND((G43*AsphaltBinderChange),2)</f>
        <v>0</v>
      </c>
      <c r="J43" s="146"/>
      <c r="K43" s="136"/>
      <c r="L43" s="134"/>
      <c r="M43" s="135"/>
      <c r="N43" s="82"/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</row>
    <row r="44" spans="1:33" x14ac:dyDescent="0.2">
      <c r="A44" s="97"/>
      <c r="B44" s="115" t="s">
        <v>83</v>
      </c>
      <c r="C44" s="116"/>
      <c r="D44" s="116"/>
      <c r="E44" s="117"/>
      <c r="F44" s="111" t="s">
        <v>22</v>
      </c>
      <c r="G44" s="162">
        <v>2.68297872340426E-3</v>
      </c>
      <c r="H44" s="163"/>
      <c r="I44" s="145">
        <f>ROUND((G44*AsphaltBinderChange),2)</f>
        <v>0</v>
      </c>
      <c r="J44" s="146"/>
      <c r="K44" s="136"/>
      <c r="L44" s="134"/>
      <c r="M44" s="135"/>
      <c r="N44" s="82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</row>
    <row r="45" spans="1:33" x14ac:dyDescent="0.2">
      <c r="A45" s="97"/>
      <c r="B45" s="115" t="s">
        <v>82</v>
      </c>
      <c r="C45" s="116"/>
      <c r="D45" s="116"/>
      <c r="E45" s="117"/>
      <c r="F45" s="111" t="s">
        <v>22</v>
      </c>
      <c r="G45" s="162">
        <v>1.5212765957446799E-3</v>
      </c>
      <c r="H45" s="163"/>
      <c r="I45" s="145">
        <f>ROUND((G45*AsphaltBinderChange),2)</f>
        <v>0</v>
      </c>
      <c r="J45" s="146"/>
      <c r="K45" s="136"/>
      <c r="L45" s="134"/>
      <c r="M45" s="135"/>
      <c r="N45" s="82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</row>
    <row r="46" spans="1:33" x14ac:dyDescent="0.2">
      <c r="A46" s="97"/>
      <c r="B46" s="115" t="s">
        <v>81</v>
      </c>
      <c r="C46" s="116"/>
      <c r="D46" s="116"/>
      <c r="E46" s="117"/>
      <c r="F46" s="111" t="s">
        <v>22</v>
      </c>
      <c r="G46" s="162">
        <v>1.2723404255319201E-3</v>
      </c>
      <c r="H46" s="163"/>
      <c r="I46" s="145">
        <f>ROUND((G46*AsphaltBinderChange),2)</f>
        <v>0</v>
      </c>
      <c r="J46" s="146"/>
      <c r="K46" s="136"/>
      <c r="L46" s="134"/>
      <c r="M46" s="135"/>
      <c r="N46" s="82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</row>
    <row r="47" spans="1:33" x14ac:dyDescent="0.2">
      <c r="A47" s="97"/>
      <c r="B47" s="115" t="s">
        <v>80</v>
      </c>
      <c r="C47" s="116"/>
      <c r="D47" s="116"/>
      <c r="E47" s="117"/>
      <c r="F47" s="118" t="s">
        <v>22</v>
      </c>
      <c r="G47" s="162">
        <v>1.3276595744680852E-3</v>
      </c>
      <c r="H47" s="163"/>
      <c r="I47" s="145">
        <f t="shared" si="7"/>
        <v>0</v>
      </c>
      <c r="J47" s="146"/>
      <c r="K47" s="136"/>
      <c r="L47" s="134"/>
      <c r="M47" s="135"/>
      <c r="N47" s="82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81"/>
      <c r="Z47" s="81"/>
      <c r="AA47" s="81"/>
      <c r="AB47" s="81"/>
      <c r="AC47" s="81"/>
      <c r="AD47" s="81"/>
      <c r="AE47" s="81"/>
      <c r="AF47" s="81"/>
      <c r="AG47" s="81"/>
    </row>
    <row r="48" spans="1:33" x14ac:dyDescent="0.2">
      <c r="A48" s="97"/>
      <c r="B48" s="119" t="s">
        <v>75</v>
      </c>
      <c r="C48" s="119"/>
      <c r="D48" s="119"/>
      <c r="E48" s="119"/>
      <c r="F48" s="111" t="s">
        <v>22</v>
      </c>
      <c r="G48" s="143">
        <v>2.3510638297872342E-3</v>
      </c>
      <c r="H48" s="144"/>
      <c r="I48" s="145">
        <f t="shared" si="7"/>
        <v>0</v>
      </c>
      <c r="J48" s="146"/>
      <c r="K48" s="136"/>
      <c r="L48" s="134"/>
      <c r="M48" s="135"/>
      <c r="N48" s="82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</row>
    <row r="49" spans="1:33" x14ac:dyDescent="0.2">
      <c r="A49" s="97"/>
      <c r="B49" s="120" t="s">
        <v>76</v>
      </c>
      <c r="C49" s="120"/>
      <c r="D49" s="120"/>
      <c r="E49" s="120"/>
      <c r="F49" s="111" t="s">
        <v>22</v>
      </c>
      <c r="G49" s="143">
        <v>1.9638297872340425E-3</v>
      </c>
      <c r="H49" s="144"/>
      <c r="I49" s="145">
        <f t="shared" si="7"/>
        <v>0</v>
      </c>
      <c r="J49" s="146"/>
      <c r="K49" s="136"/>
      <c r="L49" s="134"/>
      <c r="M49" s="135"/>
      <c r="N49" s="82"/>
      <c r="O49" s="81"/>
      <c r="P49" s="81"/>
      <c r="Q49" s="81"/>
      <c r="R49" s="81"/>
      <c r="S49" s="81"/>
      <c r="T49" s="81"/>
      <c r="U49" s="81"/>
      <c r="V49" s="81"/>
      <c r="W49" s="81"/>
      <c r="X49" s="81"/>
      <c r="Y49" s="81"/>
      <c r="Z49" s="81"/>
      <c r="AA49" s="81"/>
      <c r="AB49" s="81"/>
      <c r="AC49" s="81"/>
      <c r="AD49" s="81"/>
      <c r="AE49" s="81"/>
      <c r="AF49" s="81"/>
      <c r="AG49" s="81"/>
    </row>
    <row r="50" spans="1:33" x14ac:dyDescent="0.2">
      <c r="A50" s="97"/>
      <c r="B50" s="120" t="s">
        <v>77</v>
      </c>
      <c r="C50" s="120"/>
      <c r="D50" s="120"/>
      <c r="E50" s="120"/>
      <c r="F50" s="111" t="s">
        <v>22</v>
      </c>
      <c r="G50" s="143">
        <v>2.2680851063829788E-3</v>
      </c>
      <c r="H50" s="144"/>
      <c r="I50" s="145">
        <f t="shared" si="7"/>
        <v>0</v>
      </c>
      <c r="J50" s="146"/>
      <c r="K50" s="136"/>
      <c r="L50" s="134"/>
      <c r="M50" s="135"/>
      <c r="N50" s="82"/>
      <c r="O50" s="81"/>
      <c r="P50" s="81"/>
      <c r="Q50" s="81"/>
      <c r="R50" s="81"/>
      <c r="S50" s="81"/>
      <c r="T50" s="81"/>
      <c r="U50" s="81"/>
      <c r="V50" s="81"/>
      <c r="W50" s="81"/>
      <c r="X50" s="81"/>
      <c r="Y50" s="81"/>
      <c r="Z50" s="81"/>
      <c r="AA50" s="81"/>
      <c r="AB50" s="81"/>
      <c r="AC50" s="81"/>
      <c r="AD50" s="81"/>
      <c r="AE50" s="81"/>
      <c r="AF50" s="81"/>
      <c r="AG50" s="81"/>
    </row>
    <row r="51" spans="1:33" x14ac:dyDescent="0.2">
      <c r="A51" s="97"/>
      <c r="B51" s="140" t="s">
        <v>71</v>
      </c>
      <c r="C51" s="141"/>
      <c r="D51" s="141"/>
      <c r="E51" s="142"/>
      <c r="F51" s="111" t="s">
        <v>22</v>
      </c>
      <c r="G51" s="143">
        <v>7.2000000000000005E-4</v>
      </c>
      <c r="H51" s="144"/>
      <c r="I51" s="145">
        <f t="shared" si="7"/>
        <v>0</v>
      </c>
      <c r="J51" s="146"/>
      <c r="K51" s="136"/>
      <c r="L51" s="134"/>
      <c r="M51" s="135"/>
      <c r="N51" s="82"/>
      <c r="O51" s="81"/>
      <c r="P51" s="81"/>
      <c r="Q51" s="81"/>
      <c r="R51" s="81"/>
      <c r="S51" s="81"/>
      <c r="T51" s="81"/>
      <c r="U51" s="81"/>
      <c r="V51" s="81"/>
      <c r="W51" s="81"/>
      <c r="X51" s="81"/>
      <c r="Y51" s="81"/>
      <c r="Z51" s="81"/>
      <c r="AA51" s="81"/>
      <c r="AB51" s="81"/>
      <c r="AC51" s="81"/>
      <c r="AD51" s="81"/>
      <c r="AE51" s="81"/>
      <c r="AF51" s="81"/>
      <c r="AG51" s="81"/>
    </row>
    <row r="52" spans="1:33" x14ac:dyDescent="0.2">
      <c r="A52" s="97"/>
      <c r="B52" s="140" t="s">
        <v>72</v>
      </c>
      <c r="C52" s="141"/>
      <c r="D52" s="141"/>
      <c r="E52" s="142"/>
      <c r="F52" s="111" t="s">
        <v>27</v>
      </c>
      <c r="G52" s="143">
        <v>0.08</v>
      </c>
      <c r="H52" s="147"/>
      <c r="I52" s="145">
        <f t="shared" si="7"/>
        <v>0</v>
      </c>
      <c r="J52" s="146"/>
      <c r="K52" s="136"/>
      <c r="L52" s="134"/>
      <c r="M52" s="135"/>
      <c r="N52" s="82"/>
      <c r="O52" s="81"/>
      <c r="P52" s="81"/>
      <c r="Q52" s="81"/>
      <c r="R52" s="81"/>
      <c r="S52" s="81"/>
      <c r="T52" s="81"/>
      <c r="U52" s="81"/>
      <c r="V52" s="81"/>
      <c r="W52" s="81"/>
      <c r="X52" s="81"/>
      <c r="Y52" s="81"/>
      <c r="Z52" s="81"/>
      <c r="AA52" s="81"/>
      <c r="AB52" s="81"/>
      <c r="AC52" s="81"/>
      <c r="AD52" s="81"/>
      <c r="AE52" s="81"/>
      <c r="AF52" s="81"/>
      <c r="AG52" s="81"/>
    </row>
    <row r="53" spans="1:33" x14ac:dyDescent="0.2">
      <c r="A53" s="97"/>
      <c r="B53" s="140" t="s">
        <v>73</v>
      </c>
      <c r="C53" s="141"/>
      <c r="D53" s="141"/>
      <c r="E53" s="142"/>
      <c r="F53" s="111" t="s">
        <v>74</v>
      </c>
      <c r="G53" s="143">
        <v>2.8E-3</v>
      </c>
      <c r="H53" s="144"/>
      <c r="I53" s="145">
        <f t="shared" si="7"/>
        <v>0</v>
      </c>
      <c r="J53" s="146"/>
      <c r="K53" s="136"/>
      <c r="L53" s="134"/>
      <c r="M53" s="135"/>
      <c r="N53" s="82"/>
      <c r="O53" s="81"/>
      <c r="P53" s="81"/>
      <c r="Q53" s="81"/>
      <c r="R53" s="81"/>
      <c r="S53" s="81"/>
      <c r="T53" s="81"/>
      <c r="U53" s="81"/>
      <c r="V53" s="81"/>
      <c r="W53" s="81"/>
      <c r="X53" s="81"/>
      <c r="Y53" s="81"/>
      <c r="Z53" s="81"/>
      <c r="AA53" s="81"/>
      <c r="AB53" s="81"/>
      <c r="AC53" s="81"/>
      <c r="AD53" s="81"/>
      <c r="AE53" s="81"/>
      <c r="AF53" s="81"/>
      <c r="AG53" s="81"/>
    </row>
    <row r="54" spans="1:33" x14ac:dyDescent="0.2">
      <c r="A54" s="97"/>
      <c r="B54" s="164" t="s">
        <v>90</v>
      </c>
      <c r="C54" s="141"/>
      <c r="D54" s="141"/>
      <c r="E54" s="142"/>
      <c r="F54" s="137" t="s">
        <v>22</v>
      </c>
      <c r="G54" s="165">
        <v>2.5999999999999999E-3</v>
      </c>
      <c r="H54" s="144"/>
      <c r="I54" s="145">
        <f>ROUND((G54*AsphaltBinderChange),2)</f>
        <v>0</v>
      </c>
      <c r="J54" s="146"/>
      <c r="K54" s="136"/>
      <c r="L54" s="134"/>
      <c r="M54" s="135"/>
      <c r="N54" s="82"/>
      <c r="O54" s="81"/>
      <c r="P54" s="81"/>
      <c r="Q54" s="81"/>
      <c r="R54" s="81"/>
      <c r="S54" s="81"/>
      <c r="T54" s="81"/>
      <c r="U54" s="81"/>
      <c r="V54" s="81"/>
      <c r="W54" s="81"/>
      <c r="X54" s="81"/>
      <c r="Y54" s="81"/>
      <c r="Z54" s="81"/>
      <c r="AA54" s="81"/>
      <c r="AB54" s="81"/>
      <c r="AC54" s="81"/>
      <c r="AD54" s="81"/>
      <c r="AE54" s="81"/>
      <c r="AF54" s="81"/>
      <c r="AG54" s="81"/>
    </row>
    <row r="55" spans="1:33" x14ac:dyDescent="0.2">
      <c r="A55" s="97"/>
      <c r="B55" s="126" t="s">
        <v>38</v>
      </c>
      <c r="C55" s="127"/>
      <c r="D55" s="127"/>
      <c r="E55" s="127"/>
      <c r="F55" s="128"/>
      <c r="G55" s="129"/>
      <c r="H55" s="129"/>
      <c r="I55" s="130"/>
      <c r="J55" s="130"/>
      <c r="K55" s="131"/>
      <c r="L55" s="132"/>
      <c r="M55" s="104"/>
      <c r="N55" s="82"/>
      <c r="O55" s="81"/>
      <c r="P55" s="81"/>
      <c r="Q55" s="81"/>
      <c r="R55" s="81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</row>
    <row r="56" spans="1:33" x14ac:dyDescent="0.2">
      <c r="A56" s="97"/>
      <c r="B56" s="126"/>
      <c r="C56" s="127"/>
      <c r="D56" s="127"/>
      <c r="E56" s="127"/>
      <c r="F56" s="128"/>
      <c r="G56" s="129"/>
      <c r="H56" s="129"/>
      <c r="I56" s="130"/>
      <c r="J56" s="130"/>
      <c r="K56" s="131"/>
      <c r="L56" s="132"/>
      <c r="M56" s="104"/>
      <c r="N56" s="82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81"/>
      <c r="AB56" s="81"/>
      <c r="AC56" s="81"/>
      <c r="AD56" s="81"/>
      <c r="AE56" s="81"/>
      <c r="AF56" s="81"/>
      <c r="AG56" s="81"/>
    </row>
    <row r="57" spans="1:33" x14ac:dyDescent="0.2">
      <c r="A57" s="97"/>
      <c r="B57" s="126"/>
      <c r="C57" s="127"/>
      <c r="D57" s="127"/>
      <c r="E57" s="127"/>
      <c r="F57" s="128"/>
      <c r="G57" s="129"/>
      <c r="H57" s="129"/>
      <c r="I57" s="130"/>
      <c r="J57" s="130"/>
      <c r="K57" s="131"/>
      <c r="L57" s="132"/>
      <c r="M57" s="104"/>
      <c r="N57" s="82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1"/>
      <c r="AA57" s="81"/>
      <c r="AB57" s="81"/>
      <c r="AC57" s="81"/>
      <c r="AD57" s="81"/>
      <c r="AE57" s="81"/>
      <c r="AF57" s="81"/>
      <c r="AG57" s="81"/>
    </row>
    <row r="58" spans="1:33" x14ac:dyDescent="0.2">
      <c r="A58" s="97"/>
      <c r="B58" s="126"/>
      <c r="C58" s="127"/>
      <c r="D58" s="127"/>
      <c r="E58" s="127"/>
      <c r="F58" s="128"/>
      <c r="G58" s="129"/>
      <c r="H58" s="129"/>
      <c r="I58" s="130"/>
      <c r="J58" s="130"/>
      <c r="K58" s="131"/>
      <c r="L58" s="132"/>
      <c r="M58" s="104"/>
      <c r="N58" s="82"/>
      <c r="O58" s="81"/>
      <c r="P58" s="81"/>
      <c r="Q58" s="81"/>
      <c r="R58" s="81"/>
      <c r="S58" s="81"/>
      <c r="T58" s="81"/>
      <c r="U58" s="81"/>
      <c r="V58" s="81"/>
      <c r="W58" s="81"/>
      <c r="X58" s="81"/>
      <c r="Y58" s="81"/>
      <c r="Z58" s="81"/>
      <c r="AA58" s="81"/>
      <c r="AB58" s="81"/>
      <c r="AC58" s="81"/>
      <c r="AD58" s="81"/>
      <c r="AE58" s="81"/>
      <c r="AF58" s="81"/>
      <c r="AG58" s="81"/>
    </row>
    <row r="59" spans="1:33" x14ac:dyDescent="0.2">
      <c r="A59" s="97"/>
      <c r="B59" s="126"/>
      <c r="C59" s="127"/>
      <c r="D59" s="127"/>
      <c r="E59" s="127"/>
      <c r="F59" s="128"/>
      <c r="G59" s="129"/>
      <c r="H59" s="129"/>
      <c r="I59" s="130"/>
      <c r="J59" s="130"/>
      <c r="K59" s="131"/>
      <c r="L59" s="132"/>
      <c r="M59" s="104"/>
      <c r="N59" s="82"/>
      <c r="O59" s="81"/>
      <c r="P59" s="81"/>
      <c r="Q59" s="81"/>
      <c r="R59" s="81"/>
      <c r="S59" s="81"/>
      <c r="T59" s="81"/>
      <c r="U59" s="81"/>
      <c r="V59" s="81"/>
      <c r="W59" s="81"/>
      <c r="X59" s="81"/>
      <c r="Y59" s="81"/>
      <c r="Z59" s="81"/>
      <c r="AA59" s="81"/>
      <c r="AB59" s="81"/>
      <c r="AC59" s="81"/>
      <c r="AD59" s="81"/>
      <c r="AE59" s="81"/>
      <c r="AF59" s="81"/>
      <c r="AG59" s="81"/>
    </row>
    <row r="60" spans="1:33" x14ac:dyDescent="0.2">
      <c r="A60" s="97"/>
      <c r="B60" s="126"/>
      <c r="C60" s="127"/>
      <c r="D60" s="127"/>
      <c r="E60" s="127"/>
      <c r="F60" s="128"/>
      <c r="G60" s="129"/>
      <c r="H60" s="129"/>
      <c r="I60" s="130"/>
      <c r="J60" s="130"/>
      <c r="K60" s="131"/>
      <c r="L60" s="132"/>
      <c r="M60" s="104"/>
      <c r="N60" s="82"/>
      <c r="O60" s="81"/>
      <c r="P60" s="81"/>
      <c r="Q60" s="81"/>
      <c r="R60" s="81"/>
      <c r="S60" s="81"/>
      <c r="T60" s="81"/>
      <c r="U60" s="81"/>
      <c r="V60" s="81"/>
      <c r="W60" s="81"/>
      <c r="X60" s="81"/>
      <c r="Y60" s="81"/>
      <c r="Z60" s="81"/>
      <c r="AA60" s="81"/>
      <c r="AB60" s="81"/>
      <c r="AC60" s="81"/>
      <c r="AD60" s="81"/>
      <c r="AE60" s="81"/>
      <c r="AF60" s="81"/>
      <c r="AG60" s="81"/>
    </row>
    <row r="61" spans="1:33" x14ac:dyDescent="0.2">
      <c r="A61" s="97"/>
      <c r="B61" s="126"/>
      <c r="C61" s="127"/>
      <c r="D61" s="127"/>
      <c r="E61" s="127"/>
      <c r="F61" s="128"/>
      <c r="G61" s="129"/>
      <c r="H61" s="129"/>
      <c r="I61" s="130"/>
      <c r="J61" s="130"/>
      <c r="K61" s="131"/>
      <c r="L61" s="132"/>
      <c r="M61" s="104"/>
      <c r="N61" s="81"/>
      <c r="O61" s="81"/>
      <c r="P61" s="81"/>
      <c r="Q61" s="81"/>
      <c r="R61" s="81"/>
      <c r="S61" s="81"/>
      <c r="T61" s="81"/>
      <c r="U61" s="81"/>
      <c r="V61" s="81"/>
      <c r="W61" s="81"/>
      <c r="X61" s="81"/>
      <c r="Y61" s="81"/>
      <c r="Z61" s="81"/>
      <c r="AA61" s="81"/>
      <c r="AB61" s="81"/>
      <c r="AC61" s="81"/>
      <c r="AD61" s="81"/>
      <c r="AE61" s="81"/>
      <c r="AF61" s="81"/>
      <c r="AG61" s="81"/>
    </row>
    <row r="62" spans="1:33" x14ac:dyDescent="0.2">
      <c r="A62" s="97"/>
      <c r="B62" s="126"/>
      <c r="C62" s="127"/>
      <c r="D62" s="127"/>
      <c r="E62" s="127"/>
      <c r="F62" s="128"/>
      <c r="G62" s="129"/>
      <c r="H62" s="129"/>
      <c r="I62" s="130"/>
      <c r="J62" s="130"/>
      <c r="K62" s="131"/>
      <c r="L62" s="132"/>
      <c r="M62" s="104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  <c r="AA62" s="81"/>
      <c r="AB62" s="81"/>
      <c r="AC62" s="81"/>
      <c r="AD62" s="81"/>
      <c r="AE62" s="81"/>
      <c r="AF62" s="81"/>
      <c r="AG62" s="81"/>
    </row>
    <row r="63" spans="1:33" x14ac:dyDescent="0.2">
      <c r="A63" s="97"/>
      <c r="B63" s="126"/>
      <c r="C63" s="127"/>
      <c r="D63" s="127"/>
      <c r="E63" s="127"/>
      <c r="F63" s="128"/>
      <c r="G63" s="129"/>
      <c r="H63" s="129"/>
      <c r="I63" s="130"/>
      <c r="J63" s="130"/>
      <c r="K63" s="131"/>
      <c r="L63" s="132"/>
      <c r="M63" s="104"/>
      <c r="N63" s="81"/>
      <c r="O63" s="81"/>
      <c r="P63" s="81"/>
      <c r="Q63" s="81"/>
      <c r="R63" s="81"/>
      <c r="S63" s="81"/>
      <c r="T63" s="81"/>
      <c r="U63" s="81"/>
      <c r="V63" s="81"/>
      <c r="W63" s="81"/>
      <c r="X63" s="81"/>
      <c r="Y63" s="81"/>
      <c r="Z63" s="81"/>
      <c r="AA63" s="81"/>
      <c r="AB63" s="81"/>
      <c r="AC63" s="81"/>
      <c r="AD63" s="81"/>
      <c r="AE63" s="81"/>
      <c r="AF63" s="81"/>
      <c r="AG63" s="81"/>
    </row>
    <row r="64" spans="1:33" ht="13.5" thickBot="1" x14ac:dyDescent="0.25">
      <c r="A64" s="98"/>
      <c r="B64" s="102"/>
      <c r="C64" s="102"/>
      <c r="D64" s="102"/>
      <c r="E64" s="102"/>
      <c r="F64" s="102"/>
      <c r="G64" s="102"/>
      <c r="H64" s="102"/>
      <c r="I64" s="102"/>
      <c r="J64" s="102"/>
      <c r="K64" s="102"/>
      <c r="L64" s="102"/>
      <c r="M64" s="105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1"/>
      <c r="AA64" s="81"/>
      <c r="AB64" s="81"/>
      <c r="AC64" s="81"/>
      <c r="AD64" s="81"/>
      <c r="AE64" s="81"/>
      <c r="AF64" s="81"/>
      <c r="AG64" s="81"/>
    </row>
    <row r="65" spans="1:33" ht="13.5" thickTop="1" x14ac:dyDescent="0.2">
      <c r="A65" s="81"/>
      <c r="B65" s="81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1"/>
      <c r="R65" s="81"/>
      <c r="S65" s="81"/>
      <c r="T65" s="81"/>
      <c r="U65" s="81"/>
      <c r="V65" s="81"/>
      <c r="W65" s="81"/>
      <c r="X65" s="81"/>
      <c r="Y65" s="81"/>
      <c r="Z65" s="81"/>
      <c r="AA65" s="81"/>
      <c r="AB65" s="81"/>
      <c r="AC65" s="81"/>
      <c r="AD65" s="81"/>
      <c r="AE65" s="81"/>
      <c r="AF65" s="81"/>
      <c r="AG65" s="81"/>
    </row>
    <row r="66" spans="1:33" x14ac:dyDescent="0.2">
      <c r="A66" s="81"/>
      <c r="B66" s="81"/>
      <c r="C66" s="81"/>
      <c r="D66" s="81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  <c r="X66" s="81"/>
      <c r="Y66" s="81"/>
      <c r="Z66" s="81"/>
      <c r="AA66" s="81"/>
      <c r="AB66" s="81"/>
      <c r="AC66" s="81"/>
      <c r="AD66" s="81"/>
      <c r="AE66" s="81"/>
      <c r="AF66" s="81"/>
      <c r="AG66" s="81"/>
    </row>
    <row r="67" spans="1:33" x14ac:dyDescent="0.2">
      <c r="A67" s="81"/>
      <c r="B67" s="81"/>
      <c r="C67" s="81"/>
      <c r="D67" s="81"/>
      <c r="E67" s="81"/>
      <c r="F67" s="81"/>
      <c r="G67" s="81"/>
      <c r="H67" s="81"/>
      <c r="I67" s="81"/>
      <c r="J67" s="81"/>
      <c r="K67" s="81"/>
      <c r="L67" s="81"/>
      <c r="M67" s="81"/>
      <c r="N67" s="81"/>
      <c r="O67" s="81"/>
      <c r="P67" s="81"/>
      <c r="Q67" s="81"/>
      <c r="R67" s="81"/>
      <c r="S67" s="81"/>
      <c r="T67" s="81"/>
      <c r="U67" s="81"/>
      <c r="V67" s="81"/>
      <c r="W67" s="81"/>
      <c r="X67" s="81"/>
      <c r="Y67" s="81"/>
      <c r="Z67" s="81"/>
      <c r="AA67" s="81"/>
      <c r="AB67" s="81"/>
      <c r="AC67" s="81"/>
      <c r="AD67" s="81"/>
      <c r="AE67" s="81"/>
      <c r="AF67" s="81"/>
      <c r="AG67" s="81"/>
    </row>
    <row r="68" spans="1:33" x14ac:dyDescent="0.2">
      <c r="A68" s="81"/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  <c r="Q68" s="81"/>
      <c r="R68" s="81"/>
      <c r="S68" s="81"/>
      <c r="T68" s="81"/>
      <c r="U68" s="81"/>
      <c r="V68" s="81"/>
      <c r="W68" s="81"/>
      <c r="X68" s="81"/>
      <c r="Y68" s="81"/>
      <c r="Z68" s="81"/>
      <c r="AA68" s="81"/>
      <c r="AB68" s="81"/>
      <c r="AC68" s="81"/>
      <c r="AD68" s="81"/>
      <c r="AE68" s="81"/>
      <c r="AF68" s="81"/>
      <c r="AG68" s="81"/>
    </row>
    <row r="69" spans="1:33" x14ac:dyDescent="0.2">
      <c r="A69" s="81"/>
      <c r="B69" s="81"/>
      <c r="C69" s="81"/>
      <c r="D69" s="81"/>
      <c r="E69" s="81"/>
      <c r="F69" s="81"/>
      <c r="G69" s="81"/>
      <c r="H69" s="81"/>
      <c r="I69" s="81"/>
      <c r="J69" s="81"/>
      <c r="K69" s="81"/>
      <c r="L69" s="81"/>
      <c r="M69" s="81"/>
      <c r="N69" s="81"/>
      <c r="O69" s="81"/>
      <c r="P69" s="81"/>
      <c r="Q69" s="81"/>
      <c r="R69" s="81"/>
      <c r="S69" s="81"/>
      <c r="T69" s="81"/>
      <c r="U69" s="81"/>
      <c r="V69" s="81"/>
      <c r="W69" s="81"/>
      <c r="X69" s="81"/>
      <c r="Y69" s="81"/>
      <c r="Z69" s="81"/>
      <c r="AA69" s="81"/>
      <c r="AB69" s="81"/>
      <c r="AC69" s="81"/>
      <c r="AD69" s="81"/>
      <c r="AE69" s="81"/>
      <c r="AF69" s="81"/>
      <c r="AG69" s="81"/>
    </row>
    <row r="70" spans="1:33" x14ac:dyDescent="0.2">
      <c r="A70" s="81"/>
      <c r="B70" s="81"/>
      <c r="C70" s="81"/>
      <c r="D70" s="81"/>
      <c r="E70" s="81"/>
      <c r="F70" s="81"/>
      <c r="G70" s="81"/>
      <c r="H70" s="81"/>
      <c r="I70" s="81"/>
      <c r="J70" s="81"/>
      <c r="K70" s="81"/>
      <c r="L70" s="81"/>
      <c r="M70" s="81"/>
      <c r="N70" s="81"/>
      <c r="O70" s="81"/>
      <c r="P70" s="81"/>
      <c r="Q70" s="81"/>
      <c r="R70" s="81"/>
      <c r="S70" s="81"/>
      <c r="T70" s="81"/>
      <c r="U70" s="81"/>
      <c r="V70" s="81"/>
      <c r="W70" s="81"/>
      <c r="X70" s="81"/>
      <c r="Y70" s="81"/>
      <c r="Z70" s="81"/>
      <c r="AA70" s="81"/>
      <c r="AB70" s="81"/>
      <c r="AC70" s="81"/>
      <c r="AD70" s="81"/>
      <c r="AE70" s="81"/>
      <c r="AF70" s="81"/>
      <c r="AG70" s="81"/>
    </row>
    <row r="71" spans="1:33" x14ac:dyDescent="0.2">
      <c r="A71" s="81"/>
      <c r="B71" s="81"/>
      <c r="C71" s="81"/>
      <c r="D71" s="81"/>
      <c r="E71" s="81"/>
      <c r="F71" s="81"/>
      <c r="G71" s="81"/>
      <c r="H71" s="81"/>
      <c r="I71" s="81"/>
      <c r="J71" s="81"/>
      <c r="K71" s="81"/>
      <c r="L71" s="81"/>
      <c r="M71" s="81"/>
      <c r="N71" s="81"/>
      <c r="O71" s="81"/>
      <c r="P71" s="81"/>
      <c r="Q71" s="81"/>
      <c r="R71" s="81"/>
      <c r="S71" s="81"/>
      <c r="T71" s="81"/>
      <c r="U71" s="81"/>
      <c r="V71" s="81"/>
      <c r="W71" s="81"/>
      <c r="X71" s="81"/>
      <c r="Y71" s="81"/>
      <c r="Z71" s="81"/>
      <c r="AA71" s="81"/>
      <c r="AB71" s="81"/>
      <c r="AC71" s="81"/>
      <c r="AD71" s="81"/>
      <c r="AE71" s="81"/>
      <c r="AF71" s="81"/>
      <c r="AG71" s="81"/>
    </row>
    <row r="72" spans="1:33" x14ac:dyDescent="0.2">
      <c r="A72" s="81"/>
      <c r="B72" s="81"/>
      <c r="C72" s="81"/>
      <c r="D72" s="81"/>
      <c r="E72" s="81"/>
      <c r="F72" s="81"/>
      <c r="G72" s="81"/>
      <c r="H72" s="81"/>
      <c r="I72" s="81"/>
      <c r="J72" s="81"/>
      <c r="K72" s="81"/>
      <c r="L72" s="81"/>
      <c r="M72" s="81"/>
      <c r="N72" s="81"/>
      <c r="O72" s="81"/>
      <c r="P72" s="81"/>
      <c r="Q72" s="81"/>
      <c r="R72" s="81"/>
      <c r="S72" s="81"/>
      <c r="T72" s="81"/>
      <c r="U72" s="81"/>
      <c r="V72" s="81"/>
      <c r="W72" s="81"/>
      <c r="X72" s="81"/>
      <c r="Y72" s="81"/>
      <c r="Z72" s="81"/>
      <c r="AA72" s="81"/>
      <c r="AB72" s="81"/>
      <c r="AC72" s="81"/>
      <c r="AD72" s="81"/>
      <c r="AE72" s="81"/>
      <c r="AF72" s="81"/>
      <c r="AG72" s="81"/>
    </row>
    <row r="73" spans="1:33" x14ac:dyDescent="0.2">
      <c r="A73" s="81"/>
      <c r="B73" s="81"/>
      <c r="C73" s="81"/>
      <c r="D73" s="81"/>
      <c r="E73" s="81"/>
      <c r="F73" s="81"/>
      <c r="G73" s="81"/>
      <c r="H73" s="81"/>
      <c r="I73" s="81"/>
      <c r="J73" s="81"/>
      <c r="K73" s="81"/>
      <c r="L73" s="81"/>
      <c r="M73" s="81"/>
      <c r="N73" s="81"/>
      <c r="O73" s="81"/>
      <c r="P73" s="81"/>
      <c r="Q73" s="81"/>
      <c r="R73" s="81"/>
      <c r="S73" s="81"/>
      <c r="T73" s="81"/>
      <c r="U73" s="81"/>
      <c r="V73" s="81"/>
      <c r="W73" s="81"/>
      <c r="X73" s="81"/>
      <c r="Y73" s="81"/>
      <c r="Z73" s="81"/>
      <c r="AA73" s="81"/>
      <c r="AB73" s="81"/>
      <c r="AC73" s="81"/>
      <c r="AD73" s="81"/>
      <c r="AE73" s="81"/>
      <c r="AF73" s="81"/>
      <c r="AG73" s="81"/>
    </row>
    <row r="74" spans="1:33" x14ac:dyDescent="0.2">
      <c r="A74" s="81"/>
      <c r="B74" s="81"/>
      <c r="C74" s="81"/>
      <c r="D74" s="81"/>
      <c r="E74" s="81"/>
      <c r="F74" s="81"/>
      <c r="G74" s="81"/>
      <c r="H74" s="81"/>
      <c r="I74" s="81"/>
      <c r="J74" s="81"/>
      <c r="K74" s="81"/>
      <c r="L74" s="81"/>
      <c r="M74" s="81"/>
      <c r="N74" s="81"/>
      <c r="O74" s="81"/>
      <c r="P74" s="81"/>
      <c r="Q74" s="81"/>
      <c r="R74" s="81"/>
      <c r="S74" s="81"/>
      <c r="T74" s="81"/>
      <c r="U74" s="81"/>
      <c r="V74" s="81"/>
      <c r="W74" s="81"/>
      <c r="X74" s="81"/>
      <c r="Y74" s="81"/>
      <c r="Z74" s="81"/>
      <c r="AA74" s="81"/>
      <c r="AB74" s="81"/>
      <c r="AC74" s="81"/>
      <c r="AD74" s="81"/>
      <c r="AE74" s="81"/>
      <c r="AF74" s="81"/>
      <c r="AG74" s="81"/>
    </row>
    <row r="75" spans="1:33" x14ac:dyDescent="0.2">
      <c r="A75" s="81"/>
      <c r="B75" s="81"/>
      <c r="C75" s="81"/>
      <c r="D75" s="81"/>
      <c r="E75" s="81"/>
      <c r="F75" s="81"/>
      <c r="G75" s="81"/>
      <c r="H75" s="81"/>
      <c r="I75" s="81"/>
      <c r="J75" s="81"/>
      <c r="K75" s="81"/>
      <c r="L75" s="81"/>
      <c r="M75" s="81"/>
      <c r="N75" s="81"/>
      <c r="O75" s="81"/>
      <c r="P75" s="81"/>
      <c r="Q75" s="81"/>
      <c r="R75" s="81"/>
      <c r="S75" s="81"/>
      <c r="T75" s="81"/>
      <c r="U75" s="81"/>
      <c r="V75" s="81"/>
      <c r="W75" s="81"/>
      <c r="X75" s="81"/>
      <c r="Y75" s="81"/>
      <c r="Z75" s="81"/>
      <c r="AA75" s="81"/>
      <c r="AB75" s="81"/>
      <c r="AC75" s="81"/>
      <c r="AD75" s="81"/>
      <c r="AE75" s="81"/>
      <c r="AF75" s="81"/>
      <c r="AG75" s="81"/>
    </row>
    <row r="76" spans="1:33" x14ac:dyDescent="0.2">
      <c r="A76" s="81"/>
      <c r="B76" s="81"/>
      <c r="C76" s="81"/>
      <c r="D76" s="81"/>
      <c r="E76" s="81"/>
      <c r="F76" s="81"/>
      <c r="G76" s="81"/>
      <c r="H76" s="81"/>
      <c r="I76" s="81"/>
      <c r="J76" s="81"/>
      <c r="K76" s="81"/>
      <c r="L76" s="81"/>
      <c r="M76" s="81"/>
      <c r="N76" s="81"/>
      <c r="O76" s="81"/>
      <c r="P76" s="81"/>
      <c r="Q76" s="81"/>
      <c r="R76" s="81"/>
      <c r="S76" s="81"/>
      <c r="T76" s="81"/>
      <c r="U76" s="81"/>
      <c r="V76" s="81"/>
      <c r="W76" s="81"/>
      <c r="X76" s="81"/>
      <c r="Y76" s="81"/>
      <c r="Z76" s="81"/>
      <c r="AA76" s="81"/>
      <c r="AB76" s="81"/>
      <c r="AC76" s="81"/>
      <c r="AD76" s="81"/>
      <c r="AE76" s="81"/>
      <c r="AF76" s="81"/>
      <c r="AG76" s="81"/>
    </row>
    <row r="77" spans="1:33" x14ac:dyDescent="0.2">
      <c r="A77" s="81"/>
      <c r="B77" s="81"/>
      <c r="C77" s="81"/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/>
      <c r="R77" s="81"/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1"/>
      <c r="AG77" s="81"/>
    </row>
    <row r="78" spans="1:33" x14ac:dyDescent="0.2">
      <c r="A78" s="81"/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</row>
    <row r="79" spans="1:33" x14ac:dyDescent="0.2">
      <c r="A79" s="81"/>
      <c r="B79" s="81"/>
      <c r="C79" s="81"/>
      <c r="D79" s="81"/>
      <c r="E79" s="81"/>
      <c r="F79" s="81"/>
      <c r="G79" s="81"/>
      <c r="H79" s="81"/>
      <c r="I79" s="81"/>
      <c r="J79" s="81"/>
      <c r="K79" s="81"/>
      <c r="L79" s="81"/>
      <c r="M79" s="81"/>
      <c r="N79" s="81"/>
      <c r="O79" s="81"/>
      <c r="P79" s="81"/>
      <c r="Q79" s="81"/>
      <c r="R79" s="81"/>
      <c r="S79" s="81"/>
      <c r="T79" s="81"/>
      <c r="U79" s="81"/>
      <c r="V79" s="81"/>
      <c r="W79" s="81"/>
      <c r="X79" s="81"/>
      <c r="Y79" s="81"/>
      <c r="Z79" s="81"/>
      <c r="AA79" s="81"/>
      <c r="AB79" s="81"/>
      <c r="AC79" s="81"/>
      <c r="AD79" s="81"/>
      <c r="AE79" s="81"/>
      <c r="AF79" s="81"/>
      <c r="AG79" s="81"/>
    </row>
    <row r="80" spans="1:33" x14ac:dyDescent="0.2">
      <c r="A80" s="81"/>
      <c r="B80" s="81"/>
      <c r="C80" s="81"/>
      <c r="D80" s="81"/>
      <c r="E80" s="81"/>
      <c r="F80" s="81"/>
      <c r="G80" s="81"/>
      <c r="H80" s="81"/>
      <c r="I80" s="81"/>
      <c r="J80" s="81"/>
      <c r="K80" s="81"/>
      <c r="L80" s="81"/>
      <c r="M80" s="81"/>
      <c r="N80" s="81"/>
      <c r="O80" s="81"/>
      <c r="P80" s="81"/>
      <c r="Q80" s="81"/>
      <c r="R80" s="81"/>
      <c r="S80" s="81"/>
      <c r="T80" s="81"/>
      <c r="U80" s="81"/>
      <c r="V80" s="81"/>
      <c r="W80" s="81"/>
      <c r="X80" s="81"/>
      <c r="Y80" s="81"/>
      <c r="Z80" s="81"/>
      <c r="AA80" s="81"/>
      <c r="AB80" s="81"/>
      <c r="AC80" s="81"/>
      <c r="AD80" s="81"/>
      <c r="AE80" s="81"/>
      <c r="AF80" s="81"/>
      <c r="AG80" s="81"/>
    </row>
    <row r="81" spans="1:33" x14ac:dyDescent="0.2">
      <c r="A81" s="81"/>
      <c r="B81" s="81"/>
      <c r="C81" s="81"/>
      <c r="D81" s="81"/>
      <c r="E81" s="81"/>
      <c r="F81" s="81"/>
      <c r="G81" s="81"/>
      <c r="H81" s="81"/>
      <c r="I81" s="81"/>
      <c r="J81" s="81"/>
      <c r="K81" s="81"/>
      <c r="L81" s="81"/>
      <c r="M81" s="81"/>
      <c r="N81" s="81"/>
      <c r="O81" s="81"/>
      <c r="P81" s="81"/>
      <c r="Q81" s="81"/>
      <c r="R81" s="81"/>
      <c r="S81" s="81"/>
      <c r="T81" s="81"/>
      <c r="U81" s="81"/>
      <c r="V81" s="81"/>
      <c r="W81" s="81"/>
      <c r="X81" s="81"/>
      <c r="Y81" s="81"/>
      <c r="Z81" s="81"/>
      <c r="AA81" s="81"/>
      <c r="AB81" s="81"/>
      <c r="AC81" s="81"/>
      <c r="AD81" s="81"/>
      <c r="AE81" s="81"/>
      <c r="AF81" s="81"/>
      <c r="AG81" s="81"/>
    </row>
    <row r="82" spans="1:33" x14ac:dyDescent="0.2">
      <c r="A82" s="81"/>
      <c r="B82" s="81"/>
      <c r="C82" s="81"/>
      <c r="D82" s="81"/>
      <c r="E82" s="81"/>
      <c r="F82" s="81"/>
      <c r="G82" s="81"/>
      <c r="H82" s="81"/>
      <c r="I82" s="81"/>
      <c r="J82" s="81"/>
      <c r="K82" s="81"/>
      <c r="L82" s="81"/>
      <c r="M82" s="81"/>
      <c r="N82" s="81"/>
      <c r="O82" s="81"/>
      <c r="P82" s="81"/>
      <c r="Q82" s="81"/>
      <c r="R82" s="81"/>
      <c r="S82" s="81"/>
      <c r="T82" s="81"/>
      <c r="U82" s="81"/>
      <c r="V82" s="81"/>
      <c r="W82" s="81"/>
      <c r="X82" s="81"/>
      <c r="Y82" s="81"/>
      <c r="Z82" s="81"/>
      <c r="AA82" s="81"/>
      <c r="AB82" s="81"/>
      <c r="AC82" s="81"/>
      <c r="AD82" s="81"/>
      <c r="AE82" s="81"/>
      <c r="AF82" s="81"/>
      <c r="AG82" s="81"/>
    </row>
    <row r="83" spans="1:33" x14ac:dyDescent="0.2">
      <c r="A83" s="81"/>
      <c r="B83" s="81"/>
      <c r="C83" s="81"/>
      <c r="D83" s="81"/>
      <c r="E83" s="81"/>
      <c r="F83" s="81"/>
      <c r="G83" s="81"/>
      <c r="H83" s="81"/>
      <c r="I83" s="81"/>
      <c r="J83" s="81"/>
      <c r="K83" s="81"/>
      <c r="L83" s="81"/>
      <c r="M83" s="81"/>
      <c r="N83" s="81"/>
      <c r="O83" s="81"/>
      <c r="P83" s="81"/>
      <c r="Q83" s="81"/>
      <c r="R83" s="81"/>
      <c r="S83" s="81"/>
      <c r="T83" s="81"/>
      <c r="U83" s="81"/>
      <c r="V83" s="81"/>
      <c r="W83" s="81"/>
      <c r="X83" s="81"/>
      <c r="Y83" s="81"/>
      <c r="Z83" s="81"/>
      <c r="AA83" s="81"/>
      <c r="AB83" s="81"/>
      <c r="AC83" s="81"/>
      <c r="AD83" s="81"/>
      <c r="AE83" s="81"/>
      <c r="AF83" s="81"/>
      <c r="AG83" s="81"/>
    </row>
    <row r="84" spans="1:33" x14ac:dyDescent="0.2">
      <c r="A84" s="81"/>
      <c r="B84" s="81"/>
      <c r="C84" s="81"/>
      <c r="D84" s="81"/>
      <c r="E84" s="81"/>
      <c r="F84" s="81"/>
      <c r="G84" s="81"/>
      <c r="H84" s="81"/>
      <c r="I84" s="81"/>
      <c r="J84" s="81"/>
      <c r="K84" s="81"/>
      <c r="L84" s="81"/>
      <c r="M84" s="81"/>
      <c r="N84" s="81"/>
      <c r="O84" s="81"/>
      <c r="P84" s="81"/>
      <c r="Q84" s="81"/>
      <c r="R84" s="81"/>
      <c r="S84" s="81"/>
      <c r="T84" s="81"/>
      <c r="U84" s="81"/>
      <c r="V84" s="81"/>
      <c r="W84" s="81"/>
      <c r="X84" s="81"/>
      <c r="Y84" s="81"/>
      <c r="Z84" s="81"/>
      <c r="AA84" s="81"/>
      <c r="AB84" s="81"/>
      <c r="AC84" s="81"/>
      <c r="AD84" s="81"/>
      <c r="AE84" s="81"/>
      <c r="AF84" s="81"/>
      <c r="AG84" s="81"/>
    </row>
    <row r="85" spans="1:33" x14ac:dyDescent="0.2">
      <c r="A85" s="81"/>
      <c r="B85" s="81"/>
      <c r="C85" s="81"/>
      <c r="D85" s="81"/>
      <c r="E85" s="81"/>
      <c r="F85" s="81"/>
      <c r="G85" s="81"/>
      <c r="H85" s="81"/>
      <c r="I85" s="81"/>
      <c r="J85" s="81"/>
      <c r="K85" s="81"/>
      <c r="L85" s="81"/>
      <c r="M85" s="81"/>
      <c r="N85" s="81"/>
      <c r="O85" s="81"/>
      <c r="P85" s="81"/>
      <c r="Q85" s="81"/>
      <c r="R85" s="81"/>
      <c r="S85" s="81"/>
      <c r="T85" s="81"/>
      <c r="U85" s="81"/>
      <c r="V85" s="81"/>
      <c r="W85" s="81"/>
      <c r="X85" s="81"/>
      <c r="Y85" s="81"/>
      <c r="Z85" s="81"/>
      <c r="AA85" s="81"/>
      <c r="AB85" s="81"/>
      <c r="AC85" s="81"/>
      <c r="AD85" s="81"/>
      <c r="AE85" s="81"/>
      <c r="AF85" s="81"/>
      <c r="AG85" s="81"/>
    </row>
    <row r="86" spans="1:33" x14ac:dyDescent="0.2">
      <c r="A86" s="81"/>
      <c r="B86" s="81"/>
      <c r="C86" s="81"/>
      <c r="D86" s="81"/>
      <c r="E86" s="81"/>
      <c r="F86" s="81"/>
      <c r="G86" s="81"/>
      <c r="H86" s="81"/>
      <c r="I86" s="81"/>
      <c r="J86" s="81"/>
      <c r="K86" s="81"/>
      <c r="L86" s="81"/>
      <c r="M86" s="81"/>
      <c r="N86" s="81"/>
      <c r="O86" s="81"/>
      <c r="P86" s="81"/>
      <c r="Q86" s="81"/>
      <c r="R86" s="81"/>
      <c r="S86" s="81"/>
      <c r="T86" s="81"/>
      <c r="U86" s="81"/>
      <c r="V86" s="81"/>
      <c r="W86" s="81"/>
      <c r="X86" s="81"/>
      <c r="Y86" s="81"/>
      <c r="Z86" s="81"/>
      <c r="AA86" s="81"/>
      <c r="AB86" s="81"/>
      <c r="AC86" s="81"/>
      <c r="AD86" s="81"/>
      <c r="AE86" s="81"/>
      <c r="AF86" s="81"/>
      <c r="AG86" s="81"/>
    </row>
    <row r="87" spans="1:33" x14ac:dyDescent="0.2">
      <c r="A87" s="81"/>
      <c r="B87" s="81"/>
      <c r="C87" s="81"/>
      <c r="D87" s="81"/>
      <c r="E87" s="81"/>
      <c r="F87" s="81"/>
      <c r="G87" s="81"/>
      <c r="H87" s="81"/>
      <c r="I87" s="81"/>
      <c r="J87" s="81"/>
      <c r="K87" s="81"/>
      <c r="L87" s="81"/>
      <c r="M87" s="81"/>
      <c r="N87" s="81"/>
      <c r="O87" s="81"/>
      <c r="P87" s="81"/>
      <c r="Q87" s="81"/>
      <c r="R87" s="81"/>
      <c r="S87" s="81"/>
      <c r="T87" s="81"/>
      <c r="U87" s="81"/>
      <c r="V87" s="81"/>
      <c r="W87" s="81"/>
      <c r="X87" s="81"/>
      <c r="Y87" s="81"/>
      <c r="Z87" s="81"/>
      <c r="AA87" s="81"/>
      <c r="AB87" s="81"/>
      <c r="AC87" s="81"/>
      <c r="AD87" s="81"/>
      <c r="AE87" s="81"/>
      <c r="AF87" s="81"/>
      <c r="AG87" s="81"/>
    </row>
    <row r="88" spans="1:33" x14ac:dyDescent="0.2">
      <c r="A88" s="81"/>
      <c r="B88" s="81"/>
      <c r="C88" s="81"/>
      <c r="D88" s="81"/>
      <c r="E88" s="81"/>
      <c r="F88" s="81"/>
      <c r="G88" s="81"/>
      <c r="H88" s="81"/>
      <c r="I88" s="81"/>
      <c r="J88" s="81"/>
      <c r="K88" s="81"/>
      <c r="L88" s="81"/>
      <c r="M88" s="81"/>
      <c r="N88" s="81"/>
      <c r="O88" s="81"/>
      <c r="P88" s="81"/>
      <c r="Q88" s="81"/>
      <c r="R88" s="81"/>
      <c r="S88" s="81"/>
      <c r="T88" s="81"/>
      <c r="U88" s="81"/>
      <c r="V88" s="81"/>
      <c r="W88" s="81"/>
      <c r="X88" s="81"/>
      <c r="Y88" s="81"/>
      <c r="Z88" s="81"/>
      <c r="AA88" s="81"/>
      <c r="AB88" s="81"/>
      <c r="AC88" s="81"/>
      <c r="AD88" s="81"/>
      <c r="AE88" s="81"/>
      <c r="AF88" s="81"/>
      <c r="AG88" s="81"/>
    </row>
    <row r="89" spans="1:33" x14ac:dyDescent="0.2">
      <c r="A89" s="81"/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1"/>
      <c r="O89" s="81"/>
      <c r="P89" s="81"/>
      <c r="Q89" s="81"/>
      <c r="R89" s="81"/>
      <c r="S89" s="81"/>
      <c r="T89" s="81"/>
      <c r="U89" s="81"/>
      <c r="V89" s="81"/>
      <c r="W89" s="81"/>
      <c r="X89" s="81"/>
      <c r="Y89" s="81"/>
      <c r="Z89" s="81"/>
      <c r="AA89" s="81"/>
      <c r="AB89" s="81"/>
      <c r="AC89" s="81"/>
      <c r="AD89" s="81"/>
      <c r="AE89" s="81"/>
      <c r="AF89" s="81"/>
      <c r="AG89" s="81"/>
    </row>
    <row r="90" spans="1:33" x14ac:dyDescent="0.2">
      <c r="A90" s="81"/>
      <c r="B90" s="81"/>
      <c r="C90" s="81"/>
      <c r="D90" s="81"/>
      <c r="E90" s="81"/>
      <c r="F90" s="81"/>
      <c r="G90" s="81"/>
      <c r="H90" s="81"/>
      <c r="I90" s="81"/>
      <c r="J90" s="81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81"/>
      <c r="Z90" s="81"/>
      <c r="AA90" s="81"/>
      <c r="AB90" s="81"/>
      <c r="AC90" s="81"/>
      <c r="AD90" s="81"/>
      <c r="AE90" s="81"/>
      <c r="AF90" s="81"/>
      <c r="AG90" s="81"/>
    </row>
    <row r="91" spans="1:33" x14ac:dyDescent="0.2">
      <c r="A91" s="81"/>
      <c r="B91" s="81"/>
      <c r="C91" s="81"/>
      <c r="D91" s="81"/>
      <c r="E91" s="81"/>
      <c r="F91" s="81"/>
      <c r="G91" s="81"/>
      <c r="H91" s="81"/>
      <c r="I91" s="81"/>
      <c r="J91" s="81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81"/>
      <c r="Z91" s="81"/>
      <c r="AA91" s="81"/>
      <c r="AB91" s="81"/>
      <c r="AC91" s="81"/>
      <c r="AD91" s="81"/>
      <c r="AE91" s="81"/>
      <c r="AF91" s="81"/>
      <c r="AG91" s="81"/>
    </row>
    <row r="92" spans="1:33" x14ac:dyDescent="0.2">
      <c r="A92" s="81"/>
      <c r="B92" s="81"/>
      <c r="C92" s="81"/>
      <c r="D92" s="81"/>
      <c r="E92" s="81"/>
      <c r="F92" s="81"/>
      <c r="G92" s="81"/>
      <c r="H92" s="81"/>
      <c r="I92" s="81"/>
      <c r="J92" s="81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81"/>
      <c r="Z92" s="81"/>
      <c r="AA92" s="81"/>
      <c r="AB92" s="81"/>
      <c r="AC92" s="81"/>
      <c r="AD92" s="81"/>
      <c r="AE92" s="81"/>
      <c r="AF92" s="81"/>
      <c r="AG92" s="81"/>
    </row>
    <row r="93" spans="1:33" x14ac:dyDescent="0.2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M93" s="81"/>
      <c r="N93" s="81"/>
      <c r="O93" s="81"/>
      <c r="P93" s="81"/>
      <c r="Q93" s="81"/>
      <c r="R93" s="81"/>
      <c r="S93" s="81"/>
      <c r="T93" s="81"/>
      <c r="U93" s="81"/>
      <c r="V93" s="81"/>
      <c r="W93" s="81"/>
      <c r="X93" s="81"/>
      <c r="Y93" s="81"/>
      <c r="Z93" s="81"/>
      <c r="AA93" s="81"/>
      <c r="AB93" s="81"/>
      <c r="AC93" s="81"/>
      <c r="AD93" s="81"/>
      <c r="AE93" s="81"/>
      <c r="AF93" s="81"/>
      <c r="AG93" s="81"/>
    </row>
    <row r="94" spans="1:33" x14ac:dyDescent="0.2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M94" s="81"/>
      <c r="N94" s="81"/>
      <c r="O94" s="81"/>
      <c r="P94" s="81"/>
      <c r="Q94" s="81"/>
      <c r="R94" s="81"/>
      <c r="S94" s="81"/>
      <c r="T94" s="81"/>
      <c r="U94" s="81"/>
      <c r="V94" s="81"/>
      <c r="W94" s="81"/>
      <c r="X94" s="81"/>
      <c r="Y94" s="81"/>
      <c r="Z94" s="81"/>
      <c r="AA94" s="81"/>
      <c r="AB94" s="81"/>
      <c r="AC94" s="81"/>
      <c r="AD94" s="81"/>
      <c r="AE94" s="81"/>
      <c r="AF94" s="81"/>
      <c r="AG94" s="81"/>
    </row>
    <row r="95" spans="1:33" x14ac:dyDescent="0.2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M95" s="81"/>
      <c r="N95" s="81"/>
      <c r="O95" s="81"/>
      <c r="P95" s="81"/>
      <c r="Q95" s="81"/>
      <c r="R95" s="81"/>
      <c r="S95" s="81"/>
      <c r="T95" s="81"/>
      <c r="U95" s="81"/>
      <c r="V95" s="81"/>
      <c r="W95" s="81"/>
      <c r="X95" s="81"/>
      <c r="Y95" s="81"/>
      <c r="Z95" s="81"/>
      <c r="AA95" s="81"/>
      <c r="AB95" s="81"/>
      <c r="AC95" s="81"/>
      <c r="AD95" s="81"/>
      <c r="AE95" s="81"/>
      <c r="AF95" s="81"/>
      <c r="AG95" s="81"/>
    </row>
    <row r="96" spans="1:33" x14ac:dyDescent="0.2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  <c r="X96" s="81"/>
      <c r="Y96" s="81"/>
      <c r="Z96" s="81"/>
      <c r="AA96" s="81"/>
      <c r="AB96" s="81"/>
      <c r="AC96" s="81"/>
      <c r="AD96" s="81"/>
      <c r="AE96" s="81"/>
      <c r="AF96" s="81"/>
      <c r="AG96" s="81"/>
    </row>
    <row r="97" spans="1:33" x14ac:dyDescent="0.2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81"/>
      <c r="Z97" s="81"/>
      <c r="AA97" s="81"/>
      <c r="AB97" s="81"/>
      <c r="AC97" s="81"/>
      <c r="AD97" s="81"/>
      <c r="AE97" s="81"/>
      <c r="AF97" s="81"/>
      <c r="AG97" s="81"/>
    </row>
    <row r="98" spans="1:33" x14ac:dyDescent="0.2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81"/>
      <c r="Z98" s="81"/>
      <c r="AA98" s="81"/>
      <c r="AB98" s="81"/>
      <c r="AC98" s="81"/>
      <c r="AD98" s="81"/>
      <c r="AE98" s="81"/>
      <c r="AF98" s="81"/>
      <c r="AG98" s="81"/>
    </row>
    <row r="99" spans="1:33" x14ac:dyDescent="0.2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81"/>
      <c r="Z99" s="81"/>
      <c r="AA99" s="81"/>
      <c r="AB99" s="81"/>
      <c r="AC99" s="81"/>
      <c r="AD99" s="81"/>
      <c r="AE99" s="81"/>
      <c r="AF99" s="81"/>
      <c r="AG99" s="81"/>
    </row>
    <row r="100" spans="1:33" x14ac:dyDescent="0.2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M100" s="81"/>
      <c r="N100" s="81"/>
      <c r="O100" s="81"/>
      <c r="P100" s="81"/>
      <c r="Q100" s="81"/>
      <c r="R100" s="81"/>
      <c r="S100" s="81"/>
      <c r="T100" s="81"/>
      <c r="U100" s="81"/>
      <c r="V100" s="81"/>
      <c r="W100" s="81"/>
      <c r="X100" s="81"/>
      <c r="Y100" s="81"/>
      <c r="Z100" s="81"/>
      <c r="AA100" s="81"/>
      <c r="AB100" s="81"/>
      <c r="AC100" s="81"/>
      <c r="AD100" s="81"/>
      <c r="AE100" s="81"/>
      <c r="AF100" s="81"/>
      <c r="AG100" s="81"/>
    </row>
  </sheetData>
  <sheetProtection algorithmName="SHA-512" hashValue="fhypffgXZSvzzgPwVxZGPSPsL64sSSaqR00BGyEwgfW6u/5+vnz15mpO1HVI3Hj98mOslyUSQJqKtdgknNpYXA==" saltValue="+VQRMHiEwsqV4jRAqHevVg==" spinCount="100000" sheet="1" objects="1" scenarios="1"/>
  <mergeCells count="80">
    <mergeCell ref="B54:E54"/>
    <mergeCell ref="G54:H54"/>
    <mergeCell ref="I54:J54"/>
    <mergeCell ref="G42:H42"/>
    <mergeCell ref="G49:H49"/>
    <mergeCell ref="I49:J49"/>
    <mergeCell ref="G50:H50"/>
    <mergeCell ref="I50:J50"/>
    <mergeCell ref="G47:H47"/>
    <mergeCell ref="I42:J42"/>
    <mergeCell ref="G45:H45"/>
    <mergeCell ref="G46:H46"/>
    <mergeCell ref="I43:J43"/>
    <mergeCell ref="G44:H44"/>
    <mergeCell ref="G48:H48"/>
    <mergeCell ref="I48:J48"/>
    <mergeCell ref="G43:H43"/>
    <mergeCell ref="I47:J47"/>
    <mergeCell ref="I44:J44"/>
    <mergeCell ref="I45:J45"/>
    <mergeCell ref="B19:E19"/>
    <mergeCell ref="B40:E40"/>
    <mergeCell ref="G40:H40"/>
    <mergeCell ref="I40:J40"/>
    <mergeCell ref="I46:J46"/>
    <mergeCell ref="G41:H41"/>
    <mergeCell ref="B38:E38"/>
    <mergeCell ref="G38:H38"/>
    <mergeCell ref="I38:J38"/>
    <mergeCell ref="I41:J41"/>
    <mergeCell ref="B37:E37"/>
    <mergeCell ref="B36:E36"/>
    <mergeCell ref="B41:E41"/>
    <mergeCell ref="G37:H37"/>
    <mergeCell ref="I37:J37"/>
    <mergeCell ref="G33:H34"/>
    <mergeCell ref="I33:J34"/>
    <mergeCell ref="B35:E35"/>
    <mergeCell ref="G35:H35"/>
    <mergeCell ref="I35:J35"/>
    <mergeCell ref="G39:H39"/>
    <mergeCell ref="I39:J39"/>
    <mergeCell ref="G36:H36"/>
    <mergeCell ref="I36:J36"/>
    <mergeCell ref="F33:F34"/>
    <mergeCell ref="B39:E39"/>
    <mergeCell ref="B26:E26"/>
    <mergeCell ref="B27:E27"/>
    <mergeCell ref="B28:E28"/>
    <mergeCell ref="B29:E29"/>
    <mergeCell ref="B33:E34"/>
    <mergeCell ref="B30:E30"/>
    <mergeCell ref="B25:E25"/>
    <mergeCell ref="B13:E13"/>
    <mergeCell ref="B14:E14"/>
    <mergeCell ref="B15:E15"/>
    <mergeCell ref="B16:E16"/>
    <mergeCell ref="B17:E17"/>
    <mergeCell ref="B18:E18"/>
    <mergeCell ref="B20:E20"/>
    <mergeCell ref="B21:E21"/>
    <mergeCell ref="B22:E22"/>
    <mergeCell ref="B23:E23"/>
    <mergeCell ref="B24:E24"/>
    <mergeCell ref="B6:E6"/>
    <mergeCell ref="L7:L8"/>
    <mergeCell ref="B11:E12"/>
    <mergeCell ref="F11:F12"/>
    <mergeCell ref="G11:H11"/>
    <mergeCell ref="I11:K11"/>
    <mergeCell ref="H6:K6"/>
    <mergeCell ref="B53:E53"/>
    <mergeCell ref="G53:H53"/>
    <mergeCell ref="I53:J53"/>
    <mergeCell ref="B51:E51"/>
    <mergeCell ref="G51:H51"/>
    <mergeCell ref="I51:J51"/>
    <mergeCell ref="B52:E52"/>
    <mergeCell ref="G52:H52"/>
    <mergeCell ref="I52:J52"/>
  </mergeCells>
  <phoneticPr fontId="0" type="noConversion"/>
  <dataValidations count="1">
    <dataValidation type="list" allowBlank="1" showInputMessage="1" showErrorMessage="1" sqref="B8 H8">
      <formula1>Validdates</formula1>
    </dataValidation>
  </dataValidation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F408"/>
  <sheetViews>
    <sheetView zoomScale="130" zoomScaleNormal="130" workbookViewId="0">
      <pane ySplit="3" topLeftCell="A4" activePane="bottomLeft" state="frozen"/>
      <selection activeCell="N12" sqref="N12"/>
      <selection pane="bottomLeft" activeCell="G7" sqref="G7"/>
    </sheetView>
  </sheetViews>
  <sheetFormatPr defaultRowHeight="12.75" x14ac:dyDescent="0.2"/>
  <cols>
    <col min="2" max="2" width="9.7109375" bestFit="1" customWidth="1"/>
    <col min="3" max="3" width="10.7109375" bestFit="1" customWidth="1"/>
    <col min="4" max="4" width="9.85546875" bestFit="1" customWidth="1"/>
    <col min="5" max="5" width="10.85546875" bestFit="1" customWidth="1"/>
  </cols>
  <sheetData>
    <row r="1" spans="1:6" x14ac:dyDescent="0.2">
      <c r="A1" s="1"/>
      <c r="B1" s="1"/>
      <c r="C1" s="1"/>
      <c r="D1" s="1"/>
      <c r="E1" s="1"/>
      <c r="F1" s="1"/>
    </row>
    <row r="2" spans="1:6" ht="18" x14ac:dyDescent="0.25">
      <c r="A2" s="2"/>
      <c r="B2" s="166" t="s">
        <v>0</v>
      </c>
      <c r="C2" s="166"/>
      <c r="D2" s="166"/>
      <c r="E2" s="166"/>
      <c r="F2" s="2"/>
    </row>
    <row r="3" spans="1:6" x14ac:dyDescent="0.2">
      <c r="A3" s="2"/>
      <c r="B3" s="3" t="s">
        <v>1</v>
      </c>
      <c r="C3" s="3" t="s">
        <v>2</v>
      </c>
      <c r="D3" s="3" t="s">
        <v>3</v>
      </c>
      <c r="E3" s="3" t="s">
        <v>4</v>
      </c>
      <c r="F3" s="2"/>
    </row>
    <row r="4" spans="1:6" s="138" customFormat="1" x14ac:dyDescent="0.2">
      <c r="A4" s="2"/>
      <c r="B4" s="4">
        <v>45658</v>
      </c>
      <c r="C4" s="60">
        <v>583.36</v>
      </c>
      <c r="D4" s="6">
        <v>2.5889000000000002</v>
      </c>
      <c r="E4" s="6">
        <v>2.2722224999999998</v>
      </c>
      <c r="F4" s="2"/>
    </row>
    <row r="5" spans="1:6" s="138" customFormat="1" x14ac:dyDescent="0.2">
      <c r="A5" s="2"/>
      <c r="B5" s="4">
        <v>45627</v>
      </c>
      <c r="C5" s="60">
        <v>586.04999999999995</v>
      </c>
      <c r="D5" s="6">
        <v>2.6262241666666699</v>
      </c>
      <c r="E5" s="6">
        <v>2.3073741666666701</v>
      </c>
      <c r="F5" s="2"/>
    </row>
    <row r="6" spans="1:6" s="138" customFormat="1" x14ac:dyDescent="0.2">
      <c r="A6" s="2"/>
      <c r="B6" s="4">
        <v>45597</v>
      </c>
      <c r="C6" s="60">
        <v>586.89</v>
      </c>
      <c r="D6" s="6">
        <v>2.6182966666666698</v>
      </c>
      <c r="E6" s="6">
        <v>2.37075416666667</v>
      </c>
      <c r="F6" s="2"/>
    </row>
    <row r="7" spans="1:6" s="138" customFormat="1" x14ac:dyDescent="0.2">
      <c r="A7" s="2"/>
      <c r="B7" s="4">
        <v>45566</v>
      </c>
      <c r="C7" s="60">
        <v>583.13</v>
      </c>
      <c r="D7" s="6">
        <v>2.5233724999999998</v>
      </c>
      <c r="E7" s="6">
        <v>2.32047583333333</v>
      </c>
      <c r="F7" s="2"/>
    </row>
    <row r="8" spans="1:6" s="138" customFormat="1" x14ac:dyDescent="0.2">
      <c r="A8" s="2"/>
      <c r="B8" s="4">
        <v>45536</v>
      </c>
      <c r="C8" s="60">
        <v>596.58000000000004</v>
      </c>
      <c r="D8" s="6">
        <v>2.6831545161290302</v>
      </c>
      <c r="E8" s="6">
        <v>2.5545216129032302</v>
      </c>
      <c r="F8" s="2"/>
    </row>
    <row r="9" spans="1:6" s="138" customFormat="1" x14ac:dyDescent="0.2">
      <c r="A9" s="2"/>
      <c r="B9" s="4">
        <v>45505</v>
      </c>
      <c r="C9" s="60">
        <v>607</v>
      </c>
      <c r="D9" s="6">
        <v>2.88522467741935</v>
      </c>
      <c r="E9" s="6">
        <v>2.7494998387096801</v>
      </c>
      <c r="F9" s="2"/>
    </row>
    <row r="10" spans="1:6" s="138" customFormat="1" x14ac:dyDescent="0.2">
      <c r="A10" s="2"/>
      <c r="B10" s="4">
        <v>45474</v>
      </c>
      <c r="C10" s="60">
        <v>609.74</v>
      </c>
      <c r="D10" s="6">
        <v>2.8418733333333299</v>
      </c>
      <c r="E10" s="6">
        <v>2.6721149999999998</v>
      </c>
      <c r="F10" s="2"/>
    </row>
    <row r="11" spans="1:6" s="138" customFormat="1" x14ac:dyDescent="0.2">
      <c r="A11" s="2"/>
      <c r="B11" s="4">
        <v>45444</v>
      </c>
      <c r="C11" s="60">
        <v>619</v>
      </c>
      <c r="D11" s="6">
        <v>2.8471074500000002</v>
      </c>
      <c r="E11" s="6">
        <v>2.74912340833334</v>
      </c>
      <c r="F11" s="2"/>
    </row>
    <row r="12" spans="1:6" s="138" customFormat="1" x14ac:dyDescent="0.2">
      <c r="A12" s="2"/>
      <c r="B12" s="4">
        <v>45413</v>
      </c>
      <c r="C12" s="60">
        <v>618.5</v>
      </c>
      <c r="D12" s="6">
        <v>3.0272000000000001</v>
      </c>
      <c r="E12" s="6">
        <v>2.8251391666666699</v>
      </c>
      <c r="F12" s="2"/>
    </row>
    <row r="13" spans="1:6" s="138" customFormat="1" x14ac:dyDescent="0.2">
      <c r="A13" s="2"/>
      <c r="B13" s="4">
        <v>45383</v>
      </c>
      <c r="C13" s="60">
        <v>613.5</v>
      </c>
      <c r="D13" s="6">
        <v>3.0526617741935498</v>
      </c>
      <c r="E13" s="6">
        <v>2.72765467741936</v>
      </c>
      <c r="F13" s="2"/>
    </row>
    <row r="14" spans="1:6" s="138" customFormat="1" x14ac:dyDescent="0.2">
      <c r="A14" s="2"/>
      <c r="B14" s="4">
        <v>45352</v>
      </c>
      <c r="C14" s="60">
        <v>601.5</v>
      </c>
      <c r="D14" s="6">
        <v>3.16498568965517</v>
      </c>
      <c r="E14" s="6">
        <v>2.5308000000000002</v>
      </c>
      <c r="F14" s="2"/>
    </row>
    <row r="15" spans="1:6" s="138" customFormat="1" x14ac:dyDescent="0.2">
      <c r="A15" s="2"/>
      <c r="B15" s="4">
        <v>45323</v>
      </c>
      <c r="C15" s="60">
        <v>591.25</v>
      </c>
      <c r="D15" s="6">
        <v>3.0118999999999998</v>
      </c>
      <c r="E15" s="6">
        <v>2.3984932258064502</v>
      </c>
      <c r="F15" s="2"/>
    </row>
    <row r="16" spans="1:6" s="138" customFormat="1" x14ac:dyDescent="0.2">
      <c r="A16" s="2"/>
      <c r="B16" s="4">
        <v>45292</v>
      </c>
      <c r="C16" s="60">
        <v>594.25</v>
      </c>
      <c r="D16" s="6">
        <v>2.93557916666667</v>
      </c>
      <c r="E16" s="6">
        <v>2.40097</v>
      </c>
      <c r="F16" s="2"/>
    </row>
    <row r="17" spans="1:6" s="138" customFormat="1" x14ac:dyDescent="0.2">
      <c r="A17" s="2"/>
      <c r="B17" s="4">
        <v>45261</v>
      </c>
      <c r="C17" s="60">
        <v>601.94000000000005</v>
      </c>
      <c r="D17" s="6">
        <v>3.1912141666666698</v>
      </c>
      <c r="E17" s="6">
        <v>2.49932</v>
      </c>
      <c r="F17" s="2"/>
    </row>
    <row r="18" spans="1:6" s="138" customFormat="1" x14ac:dyDescent="0.2">
      <c r="A18" s="2"/>
      <c r="B18" s="4">
        <v>45231</v>
      </c>
      <c r="C18" s="60">
        <v>611</v>
      </c>
      <c r="D18" s="6">
        <v>3.4833529032258101</v>
      </c>
      <c r="E18" s="6">
        <v>2.6211000000000002</v>
      </c>
      <c r="F18" s="2"/>
    </row>
    <row r="19" spans="1:6" s="138" customFormat="1" x14ac:dyDescent="0.2">
      <c r="A19" s="2"/>
      <c r="B19" s="4">
        <v>45200</v>
      </c>
      <c r="C19" s="60">
        <v>624</v>
      </c>
      <c r="D19" s="6">
        <v>3.6618753448275898</v>
      </c>
      <c r="E19" s="6">
        <v>2.9201822413793099</v>
      </c>
      <c r="F19" s="2"/>
    </row>
    <row r="20" spans="1:6" s="138" customFormat="1" x14ac:dyDescent="0.2">
      <c r="A20" s="2"/>
      <c r="B20" s="4">
        <v>45170</v>
      </c>
      <c r="C20" s="60">
        <v>628.5</v>
      </c>
      <c r="D20" s="6">
        <v>3.50225370967742</v>
      </c>
      <c r="E20" s="6">
        <v>2.9626682258064498</v>
      </c>
      <c r="F20" s="2"/>
    </row>
    <row r="21" spans="1:6" s="138" customFormat="1" x14ac:dyDescent="0.2">
      <c r="A21" s="2"/>
      <c r="B21" s="4">
        <v>45139</v>
      </c>
      <c r="C21" s="60">
        <v>639</v>
      </c>
      <c r="D21" s="6">
        <v>3.00547870967742</v>
      </c>
      <c r="E21" s="6">
        <v>2.7902520967741902</v>
      </c>
      <c r="F21" s="2"/>
    </row>
    <row r="22" spans="1:6" s="138" customFormat="1" x14ac:dyDescent="0.2">
      <c r="A22" s="2"/>
      <c r="B22" s="4">
        <v>45108</v>
      </c>
      <c r="C22" s="60">
        <v>641.5</v>
      </c>
      <c r="D22" s="6">
        <v>2.7902541666666663</v>
      </c>
      <c r="E22" s="6">
        <v>2.7010000000000001</v>
      </c>
      <c r="F22" s="2"/>
    </row>
    <row r="23" spans="1:6" x14ac:dyDescent="0.2">
      <c r="A23" s="2"/>
      <c r="B23" s="4">
        <v>45078</v>
      </c>
      <c r="C23" s="60">
        <v>647.5</v>
      </c>
      <c r="D23" s="6">
        <v>2.7713000000000001</v>
      </c>
      <c r="E23" s="6">
        <v>2.6973553225806399</v>
      </c>
      <c r="F23" s="2"/>
    </row>
    <row r="24" spans="1:6" x14ac:dyDescent="0.2">
      <c r="A24" s="2"/>
      <c r="B24" s="4">
        <v>45047</v>
      </c>
      <c r="C24" s="60">
        <v>651.28</v>
      </c>
      <c r="D24" s="6">
        <v>2.9944716666666702</v>
      </c>
      <c r="E24" s="6">
        <v>2.809355</v>
      </c>
      <c r="F24" s="2"/>
    </row>
    <row r="25" spans="1:6" x14ac:dyDescent="0.2">
      <c r="A25" s="2"/>
      <c r="B25" s="4">
        <v>45017</v>
      </c>
      <c r="C25" s="60">
        <v>651.53</v>
      </c>
      <c r="D25" s="6">
        <v>3.1309999999999998</v>
      </c>
      <c r="E25" s="6">
        <v>2.68241</v>
      </c>
      <c r="F25" s="2"/>
    </row>
    <row r="26" spans="1:6" x14ac:dyDescent="0.2">
      <c r="A26" s="2"/>
      <c r="B26" s="4">
        <v>44986</v>
      </c>
      <c r="C26" s="60">
        <v>651.5</v>
      </c>
      <c r="D26" s="6">
        <v>3.22738196428572</v>
      </c>
      <c r="E26" s="6">
        <v>2.6156549999999998</v>
      </c>
      <c r="F26" s="2"/>
    </row>
    <row r="27" spans="1:6" x14ac:dyDescent="0.2">
      <c r="A27" s="2"/>
      <c r="B27" s="4">
        <v>44958</v>
      </c>
      <c r="C27" s="60">
        <v>647.25</v>
      </c>
      <c r="D27" s="6">
        <v>3.73226419354839</v>
      </c>
      <c r="E27" s="6">
        <v>2.7309000000000001</v>
      </c>
      <c r="F27" s="2"/>
    </row>
    <row r="28" spans="1:6" x14ac:dyDescent="0.2">
      <c r="A28" s="2"/>
      <c r="B28" s="4">
        <v>44927</v>
      </c>
      <c r="C28" s="60">
        <v>645</v>
      </c>
      <c r="D28" s="6">
        <v>3.6000698387096768</v>
      </c>
      <c r="E28" s="6">
        <v>2.5018703225806447</v>
      </c>
      <c r="F28" s="2"/>
    </row>
    <row r="29" spans="1:6" x14ac:dyDescent="0.2">
      <c r="A29" s="2"/>
      <c r="B29" s="4">
        <v>44896</v>
      </c>
      <c r="C29" s="60">
        <v>654.5</v>
      </c>
      <c r="D29" s="6">
        <v>4.4199983333333304</v>
      </c>
      <c r="E29" s="6">
        <v>2.7811766666666653</v>
      </c>
      <c r="F29" s="2"/>
    </row>
    <row r="30" spans="1:6" x14ac:dyDescent="0.2">
      <c r="A30" s="2"/>
      <c r="B30" s="4">
        <v>44866</v>
      </c>
      <c r="C30" s="60">
        <v>670.5</v>
      </c>
      <c r="D30" s="6">
        <v>4.4066999999999998</v>
      </c>
      <c r="E30" s="6">
        <v>2.8997920967741901</v>
      </c>
      <c r="F30" s="2"/>
    </row>
    <row r="31" spans="1:6" x14ac:dyDescent="0.2">
      <c r="A31" s="2"/>
      <c r="B31" s="4">
        <v>44835</v>
      </c>
      <c r="C31" s="60">
        <v>714.52</v>
      </c>
      <c r="D31" s="6">
        <v>3.8404988983050843</v>
      </c>
      <c r="E31" s="6">
        <v>2.8142</v>
      </c>
      <c r="F31" s="2"/>
    </row>
    <row r="32" spans="1:6" x14ac:dyDescent="0.2">
      <c r="A32" s="2"/>
      <c r="B32" s="4">
        <v>44805</v>
      </c>
      <c r="C32" s="60">
        <v>755.91</v>
      </c>
      <c r="D32" s="6">
        <v>4.0350980645161281</v>
      </c>
      <c r="E32" s="6">
        <v>3.0378816129032251</v>
      </c>
      <c r="F32" s="2"/>
    </row>
    <row r="33" spans="1:6" x14ac:dyDescent="0.2">
      <c r="A33" s="2"/>
      <c r="B33" s="4">
        <v>44774</v>
      </c>
      <c r="C33" s="60">
        <v>799.31</v>
      </c>
      <c r="D33" s="6">
        <v>4.1588000000000003</v>
      </c>
      <c r="E33" s="6">
        <v>3.3046000000000002</v>
      </c>
      <c r="F33" s="2"/>
    </row>
    <row r="34" spans="1:6" x14ac:dyDescent="0.2">
      <c r="A34" s="2"/>
      <c r="B34" s="4">
        <v>44743</v>
      </c>
      <c r="C34" s="60">
        <v>792.89</v>
      </c>
      <c r="D34" s="6">
        <v>5.0218999999999996</v>
      </c>
      <c r="E34" s="6">
        <v>3.9668999999999999</v>
      </c>
      <c r="F34" s="2"/>
    </row>
    <row r="35" spans="1:6" x14ac:dyDescent="0.2">
      <c r="A35" s="2"/>
      <c r="B35" s="4">
        <v>44713</v>
      </c>
      <c r="C35" s="60">
        <v>754.03</v>
      </c>
      <c r="D35" s="6">
        <v>4.9462537096774195</v>
      </c>
      <c r="E35" s="6">
        <v>3.8239590322580637</v>
      </c>
      <c r="F35" s="2"/>
    </row>
    <row r="36" spans="1:6" x14ac:dyDescent="0.2">
      <c r="A36" s="2"/>
      <c r="B36" s="4">
        <v>44682</v>
      </c>
      <c r="C36" s="60">
        <v>715.5</v>
      </c>
      <c r="D36" s="6">
        <v>4.2559741666666664</v>
      </c>
      <c r="E36" s="6">
        <v>3.3003991666666668</v>
      </c>
      <c r="F36" s="2"/>
    </row>
    <row r="37" spans="1:6" x14ac:dyDescent="0.2">
      <c r="A37" s="2"/>
      <c r="B37" s="4">
        <v>44652</v>
      </c>
      <c r="C37" s="60">
        <v>664.5</v>
      </c>
      <c r="D37" s="6">
        <v>4.1297837499999996</v>
      </c>
      <c r="E37" s="6">
        <v>3.4347987500000001</v>
      </c>
      <c r="F37" s="2"/>
    </row>
    <row r="38" spans="1:6" x14ac:dyDescent="0.2">
      <c r="A38" s="2"/>
      <c r="B38" s="4">
        <v>44621</v>
      </c>
      <c r="C38" s="60">
        <v>587.25</v>
      </c>
      <c r="D38" s="6">
        <v>3.2463000000000002</v>
      </c>
      <c r="E38" s="6">
        <v>2.8401791071428599</v>
      </c>
      <c r="F38" s="2"/>
    </row>
    <row r="39" spans="1:6" x14ac:dyDescent="0.2">
      <c r="A39" s="2"/>
      <c r="B39" s="4">
        <v>44593</v>
      </c>
      <c r="C39" s="60">
        <v>531.66999999999996</v>
      </c>
      <c r="D39" s="6">
        <v>2.9116</v>
      </c>
      <c r="E39" s="6">
        <v>2.6077598387096765</v>
      </c>
      <c r="F39" s="2"/>
    </row>
    <row r="40" spans="1:6" x14ac:dyDescent="0.2">
      <c r="A40" s="2"/>
      <c r="B40" s="4">
        <v>44562</v>
      </c>
      <c r="C40" s="60">
        <v>520</v>
      </c>
      <c r="D40" s="6">
        <v>2.56508</v>
      </c>
      <c r="E40" s="6">
        <v>2.4885999999999999</v>
      </c>
      <c r="F40" s="2"/>
    </row>
    <row r="41" spans="1:6" x14ac:dyDescent="0.2">
      <c r="A41" s="2"/>
      <c r="B41" s="4">
        <v>44531</v>
      </c>
      <c r="C41" s="60">
        <v>521.5</v>
      </c>
      <c r="D41" s="6">
        <v>2.7381787931034482</v>
      </c>
      <c r="E41" s="6">
        <v>2.6633817241379312</v>
      </c>
      <c r="F41" s="2"/>
    </row>
    <row r="42" spans="1:6" x14ac:dyDescent="0.2">
      <c r="A42" s="2"/>
      <c r="B42" s="4">
        <v>44501</v>
      </c>
      <c r="C42" s="60">
        <v>511.25</v>
      </c>
      <c r="D42" s="6">
        <v>2.8654980645161299</v>
      </c>
      <c r="E42" s="6">
        <v>2.6873999999999998</v>
      </c>
      <c r="F42" s="2"/>
    </row>
    <row r="43" spans="1:6" x14ac:dyDescent="0.2">
      <c r="A43" s="2"/>
      <c r="B43" s="4">
        <v>44470</v>
      </c>
      <c r="C43" s="60">
        <v>498.57</v>
      </c>
      <c r="D43" s="6">
        <v>2.5497999999999998</v>
      </c>
      <c r="E43" s="6">
        <v>2.4666999999999999</v>
      </c>
      <c r="F43" s="2"/>
    </row>
    <row r="44" spans="1:6" x14ac:dyDescent="0.2">
      <c r="A44" s="2"/>
      <c r="B44" s="4">
        <v>44440</v>
      </c>
      <c r="C44" s="60">
        <v>507.86</v>
      </c>
      <c r="D44" s="6">
        <v>2.3988464516129029</v>
      </c>
      <c r="E44" s="6">
        <v>2.3849832258064518</v>
      </c>
      <c r="F44" s="2"/>
    </row>
    <row r="45" spans="1:6" x14ac:dyDescent="0.2">
      <c r="A45" s="2"/>
      <c r="B45" s="4">
        <v>44409</v>
      </c>
      <c r="C45" s="60">
        <v>508</v>
      </c>
      <c r="D45" s="6">
        <v>2.4593351612903245</v>
      </c>
      <c r="E45" s="6">
        <v>2.4344404838709672</v>
      </c>
      <c r="F45" s="2"/>
    </row>
    <row r="46" spans="1:6" x14ac:dyDescent="0.2">
      <c r="A46" s="2"/>
      <c r="B46" s="4">
        <v>44378</v>
      </c>
      <c r="C46" s="60">
        <v>504.74</v>
      </c>
      <c r="D46" s="6">
        <v>2.4433441666666678</v>
      </c>
      <c r="E46" s="6">
        <v>2.3531083333333336</v>
      </c>
      <c r="F46" s="2"/>
    </row>
    <row r="47" spans="1:6" x14ac:dyDescent="0.2">
      <c r="A47" s="2"/>
      <c r="B47" s="4">
        <v>44348</v>
      </c>
      <c r="C47" s="60">
        <v>485.86</v>
      </c>
      <c r="D47" s="6">
        <v>2.3845408064516116</v>
      </c>
      <c r="E47" s="6">
        <v>2.326134838709677</v>
      </c>
      <c r="F47" s="2"/>
    </row>
    <row r="48" spans="1:6" x14ac:dyDescent="0.2">
      <c r="A48" s="2"/>
      <c r="B48" s="4">
        <v>44317</v>
      </c>
      <c r="C48" s="60">
        <v>472.38</v>
      </c>
      <c r="D48" s="6">
        <v>2.1838000000000002</v>
      </c>
      <c r="E48" s="6">
        <v>2.1852</v>
      </c>
      <c r="F48" s="2"/>
    </row>
    <row r="49" spans="1:6" x14ac:dyDescent="0.2">
      <c r="A49" s="2"/>
      <c r="B49" s="4">
        <v>44287</v>
      </c>
      <c r="C49" s="60">
        <v>459.76</v>
      </c>
      <c r="D49" s="6">
        <v>2.2539770967741939</v>
      </c>
      <c r="E49" s="6">
        <v>2.2006000000000001</v>
      </c>
      <c r="F49" s="2"/>
    </row>
    <row r="50" spans="1:6" x14ac:dyDescent="0.2">
      <c r="A50" s="2"/>
      <c r="B50" s="4">
        <v>44256</v>
      </c>
      <c r="C50" s="60">
        <v>450.39</v>
      </c>
      <c r="D50" s="6">
        <v>2.0971132142857156</v>
      </c>
      <c r="E50" s="6">
        <v>1.9639496428571428</v>
      </c>
      <c r="F50" s="2"/>
    </row>
    <row r="51" spans="1:6" x14ac:dyDescent="0.2">
      <c r="A51" s="2"/>
      <c r="B51" s="4">
        <v>44228</v>
      </c>
      <c r="C51" s="60">
        <v>434.87</v>
      </c>
      <c r="D51" s="6">
        <v>1.8708</v>
      </c>
      <c r="E51" s="6">
        <v>1.7728999999999999</v>
      </c>
      <c r="F51" s="2"/>
    </row>
    <row r="52" spans="1:6" x14ac:dyDescent="0.2">
      <c r="A52" s="2"/>
      <c r="B52" s="4">
        <v>44197</v>
      </c>
      <c r="C52" s="60">
        <v>413.57</v>
      </c>
      <c r="D52" s="6">
        <v>1.7625</v>
      </c>
      <c r="E52" s="6">
        <v>1.5981000000000001</v>
      </c>
      <c r="F52" s="2"/>
    </row>
    <row r="53" spans="1:6" x14ac:dyDescent="0.2">
      <c r="A53" s="2"/>
      <c r="B53" s="4">
        <v>44166</v>
      </c>
      <c r="C53" s="60">
        <v>392.88</v>
      </c>
      <c r="D53" s="6">
        <v>1.5727</v>
      </c>
      <c r="E53" s="6">
        <v>1.4638</v>
      </c>
      <c r="F53" s="2"/>
    </row>
    <row r="54" spans="1:6" x14ac:dyDescent="0.2">
      <c r="A54" s="2"/>
      <c r="B54" s="4">
        <v>44136</v>
      </c>
      <c r="C54" s="60">
        <v>401.75</v>
      </c>
      <c r="D54" s="6">
        <v>1.4738</v>
      </c>
      <c r="E54" s="6">
        <v>1.4930000000000001</v>
      </c>
      <c r="F54" s="2"/>
    </row>
    <row r="55" spans="1:6" x14ac:dyDescent="0.2">
      <c r="A55" s="2"/>
      <c r="B55" s="4">
        <v>44105</v>
      </c>
      <c r="C55" s="60">
        <v>414.09</v>
      </c>
      <c r="D55" s="6">
        <v>1.4534700000000003</v>
      </c>
      <c r="E55" s="6">
        <v>1.5264625000000001</v>
      </c>
      <c r="F55" s="2"/>
    </row>
    <row r="56" spans="1:6" x14ac:dyDescent="0.2">
      <c r="A56" s="2"/>
      <c r="B56" s="4">
        <v>44075</v>
      </c>
      <c r="C56" s="60">
        <v>417.5</v>
      </c>
      <c r="D56" s="6">
        <v>1.5459000000000001</v>
      </c>
      <c r="E56" s="6">
        <v>1.5211977419354836</v>
      </c>
      <c r="F56" s="2"/>
    </row>
    <row r="57" spans="1:6" x14ac:dyDescent="0.2">
      <c r="A57" s="2"/>
      <c r="B57" s="4">
        <v>44044</v>
      </c>
      <c r="C57" s="60">
        <v>407.95</v>
      </c>
      <c r="D57" s="6">
        <v>1.5418000000000001</v>
      </c>
      <c r="E57" s="6">
        <v>1.4902</v>
      </c>
      <c r="F57" s="2"/>
    </row>
    <row r="58" spans="1:6" x14ac:dyDescent="0.2">
      <c r="A58" s="2"/>
      <c r="B58" s="4">
        <v>44013</v>
      </c>
      <c r="C58" s="60">
        <v>394.98</v>
      </c>
      <c r="D58" s="6">
        <v>1.4119216666666667</v>
      </c>
      <c r="E58" s="6">
        <v>1.4041066666666664</v>
      </c>
      <c r="F58" s="2"/>
    </row>
    <row r="59" spans="1:6" x14ac:dyDescent="0.2">
      <c r="A59" s="2"/>
      <c r="B59" s="4">
        <v>43983</v>
      </c>
      <c r="C59" s="60">
        <v>418.41</v>
      </c>
      <c r="D59" s="6">
        <v>1.1767956451612904</v>
      </c>
      <c r="E59" s="6">
        <v>1.1646346874999995</v>
      </c>
      <c r="F59" s="2"/>
    </row>
    <row r="60" spans="1:6" x14ac:dyDescent="0.2">
      <c r="A60" s="2"/>
      <c r="B60" s="4">
        <v>43952</v>
      </c>
      <c r="C60" s="60">
        <v>453.18</v>
      </c>
      <c r="D60" s="6">
        <v>1.1631175</v>
      </c>
      <c r="E60" s="6">
        <v>0.854341666666667</v>
      </c>
      <c r="F60" s="2"/>
    </row>
    <row r="61" spans="1:6" x14ac:dyDescent="0.2">
      <c r="A61" s="2"/>
      <c r="B61" s="4">
        <v>43922</v>
      </c>
      <c r="C61" s="60">
        <v>481.82</v>
      </c>
      <c r="D61" s="6">
        <v>1.4896649999999998</v>
      </c>
      <c r="E61" s="6">
        <v>1.1993880645161283</v>
      </c>
      <c r="F61" s="2"/>
    </row>
    <row r="62" spans="1:6" x14ac:dyDescent="0.2">
      <c r="A62" s="2"/>
      <c r="B62" s="4">
        <v>43891</v>
      </c>
      <c r="C62" s="60">
        <v>492</v>
      </c>
      <c r="D62" s="6">
        <v>1.9233977586206898</v>
      </c>
      <c r="E62" s="6">
        <v>1.792734310344827</v>
      </c>
      <c r="F62" s="2"/>
    </row>
    <row r="63" spans="1:6" x14ac:dyDescent="0.2">
      <c r="A63" s="2"/>
      <c r="B63" s="4">
        <v>43862</v>
      </c>
      <c r="C63" s="60">
        <v>495</v>
      </c>
      <c r="D63" s="6">
        <v>2.1417674193548386</v>
      </c>
      <c r="E63" s="6">
        <v>1.8970324193548387</v>
      </c>
      <c r="F63" s="2"/>
    </row>
    <row r="64" spans="1:6" x14ac:dyDescent="0.2">
      <c r="A64" s="2"/>
      <c r="B64" s="4">
        <v>43831</v>
      </c>
      <c r="C64" s="60">
        <v>490.88094999999998</v>
      </c>
      <c r="D64" s="6">
        <v>2.2654133870967743</v>
      </c>
      <c r="E64" s="6">
        <v>1.9467589062500004</v>
      </c>
      <c r="F64" s="2"/>
    </row>
    <row r="65" spans="1:6" x14ac:dyDescent="0.2">
      <c r="A65" s="2"/>
      <c r="B65" s="4">
        <v>43800</v>
      </c>
      <c r="C65" s="60">
        <v>488.26190000000003</v>
      </c>
      <c r="D65" s="6">
        <v>2.2114991666666666</v>
      </c>
      <c r="E65" s="6">
        <v>1.9304124999999999</v>
      </c>
      <c r="F65" s="2"/>
    </row>
    <row r="66" spans="1:6" x14ac:dyDescent="0.2">
      <c r="A66" s="2"/>
      <c r="B66" s="4">
        <v>43770</v>
      </c>
      <c r="C66" s="60">
        <v>487.47</v>
      </c>
      <c r="D66" s="6">
        <v>2.2238311290322583</v>
      </c>
      <c r="E66" s="6">
        <v>1.9098219354838706</v>
      </c>
      <c r="F66" s="2"/>
    </row>
    <row r="67" spans="1:6" x14ac:dyDescent="0.2">
      <c r="A67" s="2"/>
      <c r="B67" s="4">
        <v>43739</v>
      </c>
      <c r="C67" s="60">
        <v>482.89</v>
      </c>
      <c r="D67" s="6">
        <v>2.2177916666666664</v>
      </c>
      <c r="E67" s="6">
        <v>1.9164083333333335</v>
      </c>
      <c r="F67" s="2"/>
    </row>
    <row r="68" spans="1:6" x14ac:dyDescent="0.2">
      <c r="A68" s="2"/>
      <c r="B68" s="4">
        <v>43709</v>
      </c>
      <c r="C68" s="60">
        <v>498.55354999999997</v>
      </c>
      <c r="D68" s="6">
        <v>2.1234117741935483</v>
      </c>
      <c r="E68" s="6">
        <v>1.8915493548387101</v>
      </c>
      <c r="F68" s="2"/>
    </row>
    <row r="69" spans="1:6" x14ac:dyDescent="0.2">
      <c r="A69" s="2"/>
      <c r="B69" s="4">
        <v>43678</v>
      </c>
      <c r="C69" s="60">
        <v>521.25</v>
      </c>
      <c r="D69" s="6">
        <v>2.2066835483870961</v>
      </c>
      <c r="E69" s="6">
        <v>2.0707727419354836</v>
      </c>
      <c r="F69" s="2"/>
    </row>
    <row r="70" spans="1:6" x14ac:dyDescent="0.2">
      <c r="A70" s="2"/>
      <c r="B70" s="4">
        <v>43647</v>
      </c>
      <c r="C70" s="60">
        <v>530.28</v>
      </c>
      <c r="D70" s="6">
        <v>2.1235491666666673</v>
      </c>
      <c r="E70" s="6">
        <v>1.93486</v>
      </c>
      <c r="F70" s="2"/>
    </row>
    <row r="71" spans="1:6" x14ac:dyDescent="0.2">
      <c r="A71" s="2"/>
      <c r="B71" s="4">
        <v>43617</v>
      </c>
      <c r="C71" s="60">
        <v>537.36</v>
      </c>
      <c r="D71" s="6">
        <v>2.3197999999999999</v>
      </c>
      <c r="E71" s="6">
        <v>2.1065999999999998</v>
      </c>
      <c r="F71" s="2"/>
    </row>
    <row r="72" spans="1:6" x14ac:dyDescent="0.2">
      <c r="A72" s="2"/>
      <c r="B72" s="4">
        <v>43586</v>
      </c>
      <c r="C72" s="60">
        <v>525.03</v>
      </c>
      <c r="D72" s="6">
        <v>2.3273441666666672</v>
      </c>
      <c r="E72" s="6">
        <v>2.1825958333333331</v>
      </c>
      <c r="F72" s="2"/>
    </row>
    <row r="73" spans="1:6" x14ac:dyDescent="0.2">
      <c r="A73" s="2"/>
      <c r="B73" s="4">
        <v>43556</v>
      </c>
      <c r="C73" s="60">
        <v>509.53</v>
      </c>
      <c r="D73" s="6">
        <v>2.2580512903225802</v>
      </c>
      <c r="E73" s="6">
        <v>2.0111509677419352</v>
      </c>
      <c r="F73" s="2"/>
    </row>
    <row r="74" spans="1:6" x14ac:dyDescent="0.2">
      <c r="A74" s="2"/>
      <c r="B74" s="4">
        <v>43525</v>
      </c>
      <c r="C74" s="60">
        <v>488.5</v>
      </c>
      <c r="D74" s="6">
        <v>2.2315999999999998</v>
      </c>
      <c r="E74" s="6">
        <v>1.75526660714286</v>
      </c>
      <c r="F74" s="2"/>
    </row>
    <row r="75" spans="1:6" x14ac:dyDescent="0.2">
      <c r="A75" s="2"/>
      <c r="B75" s="4">
        <v>43497</v>
      </c>
      <c r="C75" s="60">
        <v>485.5</v>
      </c>
      <c r="D75" s="6">
        <v>2.1076585483870969</v>
      </c>
      <c r="E75" s="6">
        <v>1.6259033870967741</v>
      </c>
      <c r="F75" s="2"/>
    </row>
    <row r="76" spans="1:6" x14ac:dyDescent="0.2">
      <c r="A76" s="2"/>
      <c r="B76" s="4">
        <v>43466</v>
      </c>
      <c r="C76" s="60">
        <v>497.33</v>
      </c>
      <c r="D76" s="6">
        <v>2.0411238709677413</v>
      </c>
      <c r="E76" s="6">
        <v>1.6164953225806451</v>
      </c>
      <c r="F76" s="2"/>
    </row>
    <row r="77" spans="1:6" x14ac:dyDescent="0.2">
      <c r="A77" s="2"/>
      <c r="B77" s="4">
        <v>43435</v>
      </c>
      <c r="C77" s="60">
        <v>519.25</v>
      </c>
      <c r="D77" s="6">
        <v>2.3155049999999999</v>
      </c>
      <c r="E77" s="6">
        <v>1.8088666666666664</v>
      </c>
      <c r="F77" s="2"/>
    </row>
    <row r="78" spans="1:6" x14ac:dyDescent="0.2">
      <c r="A78" s="2"/>
      <c r="B78" s="4">
        <v>43405</v>
      </c>
      <c r="C78" s="60">
        <v>550.25</v>
      </c>
      <c r="D78" s="6">
        <v>2.596829516129032</v>
      </c>
      <c r="E78" s="6">
        <v>2.1684090322580647</v>
      </c>
      <c r="F78" s="2"/>
    </row>
    <row r="79" spans="1:6" x14ac:dyDescent="0.2">
      <c r="A79" s="2"/>
      <c r="B79" s="4">
        <v>43374</v>
      </c>
      <c r="C79" s="60">
        <v>565.82500000000005</v>
      </c>
      <c r="D79" s="6">
        <v>2.5115308333333335</v>
      </c>
      <c r="E79" s="6">
        <v>2.2224283333333346</v>
      </c>
      <c r="F79" s="2"/>
    </row>
    <row r="80" spans="1:6" x14ac:dyDescent="0.2">
      <c r="A80" s="2"/>
      <c r="B80" s="4">
        <v>43344</v>
      </c>
      <c r="C80" s="60">
        <v>566.29999999999995</v>
      </c>
      <c r="D80" s="6">
        <v>2.4069867741935487</v>
      </c>
      <c r="E80" s="6">
        <v>2.1899187096774191</v>
      </c>
      <c r="F80" s="2"/>
    </row>
    <row r="81" spans="1:6" x14ac:dyDescent="0.2">
      <c r="A81" s="2"/>
      <c r="B81" s="4">
        <v>43313</v>
      </c>
      <c r="C81" s="60">
        <v>560.42105263157896</v>
      </c>
      <c r="D81" s="6">
        <v>2.4058762903225808</v>
      </c>
      <c r="E81" s="6">
        <v>2.2251420967741926</v>
      </c>
      <c r="F81" s="2"/>
    </row>
    <row r="82" spans="1:6" x14ac:dyDescent="0.2">
      <c r="A82" s="2"/>
      <c r="B82" s="4">
        <v>43282</v>
      </c>
      <c r="C82" s="60">
        <v>536.41666666666663</v>
      </c>
      <c r="D82" s="6">
        <v>2.3850636666666656</v>
      </c>
      <c r="E82" s="6">
        <v>2.1638291666666674</v>
      </c>
      <c r="F82" s="2"/>
    </row>
    <row r="83" spans="1:6" x14ac:dyDescent="0.2">
      <c r="A83" s="2"/>
      <c r="B83" s="4">
        <v>43252</v>
      </c>
      <c r="C83" s="60">
        <v>497.11</v>
      </c>
      <c r="D83" s="6">
        <v>2.4743517187499999</v>
      </c>
      <c r="E83" s="6">
        <v>2.2686268750000003</v>
      </c>
      <c r="F83" s="2"/>
    </row>
    <row r="84" spans="1:6" x14ac:dyDescent="0.2">
      <c r="A84" s="2"/>
      <c r="B84" s="4">
        <v>43221</v>
      </c>
      <c r="C84" s="60">
        <v>459.26</v>
      </c>
      <c r="D84" s="6">
        <v>2.3302999999999998</v>
      </c>
      <c r="E84" s="6">
        <v>2.1846000000000001</v>
      </c>
      <c r="F84" s="2"/>
    </row>
    <row r="85" spans="1:6" x14ac:dyDescent="0.2">
      <c r="A85" s="2"/>
      <c r="B85" s="4">
        <v>43191</v>
      </c>
      <c r="C85" s="60">
        <v>453.24</v>
      </c>
      <c r="D85" s="6">
        <v>2.1833999999999998</v>
      </c>
      <c r="E85" s="6">
        <v>2.0089999999999999</v>
      </c>
      <c r="F85" s="2"/>
    </row>
    <row r="86" spans="1:6" x14ac:dyDescent="0.2">
      <c r="A86" s="2"/>
      <c r="B86" s="4">
        <v>43160</v>
      </c>
      <c r="C86" s="60">
        <v>430.61</v>
      </c>
      <c r="D86" s="6">
        <v>2.2336</v>
      </c>
      <c r="E86" s="6">
        <v>1.9406000000000001</v>
      </c>
      <c r="F86" s="2"/>
    </row>
    <row r="87" spans="1:6" x14ac:dyDescent="0.2">
      <c r="A87" s="2"/>
      <c r="B87" s="4">
        <v>43132</v>
      </c>
      <c r="C87" s="60">
        <v>415.53</v>
      </c>
      <c r="D87" s="6">
        <v>2.327</v>
      </c>
      <c r="E87" s="6">
        <v>1.9977</v>
      </c>
      <c r="F87" s="2"/>
    </row>
    <row r="88" spans="1:6" x14ac:dyDescent="0.2">
      <c r="A88" s="2"/>
      <c r="B88" s="4">
        <v>43101</v>
      </c>
      <c r="C88" s="60">
        <v>392.5</v>
      </c>
      <c r="D88" s="6">
        <v>2.1737000000000002</v>
      </c>
      <c r="E88" s="6">
        <v>1.8646</v>
      </c>
      <c r="F88" s="2"/>
    </row>
    <row r="89" spans="1:6" x14ac:dyDescent="0.2">
      <c r="A89" s="2"/>
      <c r="B89" s="4">
        <v>43070</v>
      </c>
      <c r="C89" s="60">
        <v>381.47</v>
      </c>
      <c r="D89" s="6">
        <v>2.1715</v>
      </c>
      <c r="E89" s="6">
        <v>1.9026000000000001</v>
      </c>
      <c r="F89" s="2"/>
    </row>
    <row r="90" spans="1:6" x14ac:dyDescent="0.2">
      <c r="A90" s="2"/>
      <c r="B90" s="4">
        <v>43040</v>
      </c>
      <c r="C90" s="60">
        <v>373.68</v>
      </c>
      <c r="D90" s="6">
        <v>2.0545</v>
      </c>
      <c r="E90" s="6">
        <v>1.8170999999999999</v>
      </c>
      <c r="F90" s="2"/>
    </row>
    <row r="91" spans="1:6" x14ac:dyDescent="0.2">
      <c r="A91" s="2"/>
      <c r="B91" s="4">
        <v>43009</v>
      </c>
      <c r="C91" s="60">
        <v>368.33</v>
      </c>
      <c r="D91" s="6">
        <v>2.1412</v>
      </c>
      <c r="E91" s="6">
        <v>2.0129000000000001</v>
      </c>
      <c r="F91" s="2"/>
    </row>
    <row r="92" spans="1:6" x14ac:dyDescent="0.2">
      <c r="A92" s="2"/>
      <c r="B92" s="4">
        <v>42979</v>
      </c>
      <c r="C92" s="60">
        <v>382.14</v>
      </c>
      <c r="D92" s="6">
        <v>1.8818999999999999</v>
      </c>
      <c r="E92" s="6">
        <v>1.7885</v>
      </c>
      <c r="F92" s="2"/>
    </row>
    <row r="93" spans="1:6" x14ac:dyDescent="0.2">
      <c r="A93" s="2"/>
      <c r="B93" s="4">
        <v>42948</v>
      </c>
      <c r="C93" s="60">
        <v>384.64</v>
      </c>
      <c r="D93" s="6">
        <v>1.7617</v>
      </c>
      <c r="E93" s="6">
        <v>1.6922999999999999</v>
      </c>
      <c r="F93" s="2"/>
    </row>
    <row r="94" spans="1:6" x14ac:dyDescent="0.2">
      <c r="A94" s="2"/>
      <c r="B94" s="4">
        <v>42917</v>
      </c>
      <c r="C94" s="60">
        <v>397.86</v>
      </c>
      <c r="D94" s="6">
        <v>1.6467000000000001</v>
      </c>
      <c r="E94" s="6">
        <v>1.6040000000000001</v>
      </c>
      <c r="F94" s="2"/>
    </row>
    <row r="95" spans="1:6" x14ac:dyDescent="0.2">
      <c r="A95" s="2"/>
      <c r="B95" s="4">
        <v>42887</v>
      </c>
      <c r="C95" s="60">
        <v>402.5</v>
      </c>
      <c r="D95" s="6">
        <v>1.7474000000000001</v>
      </c>
      <c r="E95" s="6">
        <v>1.7136</v>
      </c>
      <c r="F95" s="2"/>
    </row>
    <row r="96" spans="1:6" x14ac:dyDescent="0.2">
      <c r="A96" s="2"/>
      <c r="B96" s="4">
        <v>42856</v>
      </c>
      <c r="C96" s="60">
        <v>397.86</v>
      </c>
      <c r="D96" s="6">
        <v>1.8270999999999999</v>
      </c>
      <c r="E96" s="6">
        <v>1.8122</v>
      </c>
      <c r="F96" s="2"/>
    </row>
    <row r="97" spans="1:6" x14ac:dyDescent="0.2">
      <c r="A97" s="2"/>
      <c r="B97" s="4">
        <v>42826</v>
      </c>
      <c r="C97" s="60">
        <v>390.81</v>
      </c>
      <c r="D97" s="6">
        <v>1.7738</v>
      </c>
      <c r="E97" s="6">
        <v>1.7143999999999999</v>
      </c>
      <c r="F97" s="2"/>
    </row>
    <row r="98" spans="1:6" x14ac:dyDescent="0.2">
      <c r="A98" s="2"/>
      <c r="B98" s="4">
        <v>42795</v>
      </c>
      <c r="C98" s="60">
        <v>377.8</v>
      </c>
      <c r="D98" s="6">
        <v>1.8888</v>
      </c>
      <c r="E98" s="6">
        <v>1.7327999999999999</v>
      </c>
      <c r="F98" s="2"/>
    </row>
    <row r="99" spans="1:6" x14ac:dyDescent="0.2">
      <c r="A99" s="2"/>
      <c r="B99" s="4">
        <v>42767</v>
      </c>
      <c r="C99" s="60">
        <v>359.96</v>
      </c>
      <c r="D99" s="6">
        <v>1.8746</v>
      </c>
      <c r="E99" s="6">
        <v>1.7514000000000001</v>
      </c>
      <c r="F99" s="2"/>
    </row>
    <row r="100" spans="1:6" x14ac:dyDescent="0.2">
      <c r="A100" s="2"/>
      <c r="B100" s="4">
        <v>42736</v>
      </c>
      <c r="C100" s="60">
        <v>340.7</v>
      </c>
      <c r="D100" s="6">
        <v>1.8785000000000001</v>
      </c>
      <c r="E100" s="6">
        <v>1.7726</v>
      </c>
      <c r="F100" s="2"/>
    </row>
    <row r="101" spans="1:6" x14ac:dyDescent="0.2">
      <c r="A101" s="2"/>
      <c r="B101" s="4">
        <v>42705</v>
      </c>
      <c r="C101" s="60">
        <v>334.14</v>
      </c>
      <c r="D101" s="6">
        <v>1.7176</v>
      </c>
      <c r="E101" s="6">
        <v>1.5892999999999999</v>
      </c>
      <c r="F101" s="2"/>
    </row>
    <row r="102" spans="1:6" x14ac:dyDescent="0.2">
      <c r="A102" s="2"/>
      <c r="B102" s="4">
        <v>42675</v>
      </c>
      <c r="C102" s="60">
        <v>337.15</v>
      </c>
      <c r="D102" s="6">
        <v>1.8109999999999999</v>
      </c>
      <c r="E102" s="6">
        <v>1.7203999999999999</v>
      </c>
      <c r="F102" s="2"/>
    </row>
    <row r="103" spans="1:6" x14ac:dyDescent="0.2">
      <c r="A103" s="2"/>
      <c r="B103" s="4">
        <v>42644</v>
      </c>
      <c r="C103" s="60">
        <v>340.83</v>
      </c>
      <c r="D103" s="6">
        <v>1.6808000000000001</v>
      </c>
      <c r="E103" s="6">
        <v>1.6304000000000001</v>
      </c>
      <c r="F103" s="2"/>
    </row>
    <row r="104" spans="1:6" x14ac:dyDescent="0.2">
      <c r="A104" s="2"/>
      <c r="B104" s="4">
        <v>42614</v>
      </c>
      <c r="C104" s="60">
        <v>349.67</v>
      </c>
      <c r="D104" s="6">
        <v>1.6543000000000001</v>
      </c>
      <c r="E104" s="6">
        <v>1.5893999999999999</v>
      </c>
      <c r="F104" s="2"/>
    </row>
    <row r="105" spans="1:6" x14ac:dyDescent="0.2">
      <c r="A105" s="2"/>
      <c r="B105" s="4">
        <v>42583</v>
      </c>
      <c r="C105" s="60">
        <v>359.67</v>
      </c>
      <c r="D105" s="6">
        <v>1.6224000000000001</v>
      </c>
      <c r="E105" s="6">
        <v>1.5367999999999999</v>
      </c>
      <c r="F105" s="2"/>
    </row>
    <row r="106" spans="1:6" x14ac:dyDescent="0.2">
      <c r="A106" s="2"/>
      <c r="B106" s="4">
        <v>42552</v>
      </c>
      <c r="C106" s="60">
        <v>358</v>
      </c>
      <c r="D106" s="6">
        <v>1.7257</v>
      </c>
      <c r="E106" s="6">
        <v>1.7124999999999999</v>
      </c>
      <c r="F106" s="2"/>
    </row>
    <row r="107" spans="1:6" x14ac:dyDescent="0.2">
      <c r="A107" s="2"/>
      <c r="B107" s="4">
        <v>42522</v>
      </c>
      <c r="C107" s="60">
        <v>347</v>
      </c>
      <c r="D107" s="6">
        <v>1.6535</v>
      </c>
      <c r="E107" s="6">
        <v>1.7665999999999999</v>
      </c>
      <c r="F107" s="2"/>
    </row>
    <row r="108" spans="1:6" x14ac:dyDescent="0.2">
      <c r="A108" s="2"/>
      <c r="B108" s="4">
        <v>42491</v>
      </c>
      <c r="C108" s="60">
        <v>342</v>
      </c>
      <c r="D108" s="6">
        <v>1.4926999999999999</v>
      </c>
      <c r="E108" s="6">
        <v>1.6177999999999999</v>
      </c>
      <c r="F108" s="2"/>
    </row>
    <row r="109" spans="1:6" x14ac:dyDescent="0.2">
      <c r="A109" s="2"/>
      <c r="B109" s="4">
        <v>42461</v>
      </c>
      <c r="C109" s="60">
        <v>360.52</v>
      </c>
      <c r="D109" s="6">
        <v>1.4316</v>
      </c>
      <c r="E109" s="6">
        <v>1.4652000000000001</v>
      </c>
      <c r="F109" s="2"/>
    </row>
    <row r="110" spans="1:6" x14ac:dyDescent="0.2">
      <c r="A110" s="2"/>
      <c r="B110" s="4">
        <v>42430</v>
      </c>
      <c r="C110" s="60">
        <v>380.47</v>
      </c>
      <c r="D110" s="6">
        <v>1.2865</v>
      </c>
      <c r="E110" s="6">
        <v>1.2242</v>
      </c>
      <c r="F110" s="2"/>
    </row>
    <row r="111" spans="1:6" x14ac:dyDescent="0.2">
      <c r="A111" s="2"/>
      <c r="B111" s="4">
        <v>42401</v>
      </c>
      <c r="C111" s="60">
        <v>392.14</v>
      </c>
      <c r="D111" s="6">
        <v>1.2552000000000001</v>
      </c>
      <c r="E111" s="6">
        <v>1.3438000000000001</v>
      </c>
      <c r="F111" s="2"/>
    </row>
    <row r="112" spans="1:6" x14ac:dyDescent="0.2">
      <c r="A112" s="2"/>
      <c r="B112" s="4">
        <v>42370</v>
      </c>
      <c r="C112" s="60">
        <v>418.25</v>
      </c>
      <c r="D112" s="6">
        <v>1.3824000000000001</v>
      </c>
      <c r="E112" s="6">
        <v>1.4942</v>
      </c>
      <c r="F112" s="2"/>
    </row>
    <row r="113" spans="1:6" x14ac:dyDescent="0.2">
      <c r="A113" s="2"/>
      <c r="B113" s="4">
        <v>42339</v>
      </c>
      <c r="C113" s="60">
        <v>440.67</v>
      </c>
      <c r="D113" s="6">
        <v>1.6398999999999999</v>
      </c>
      <c r="E113" s="6">
        <v>1.5542</v>
      </c>
      <c r="F113" s="2"/>
    </row>
    <row r="114" spans="1:6" x14ac:dyDescent="0.2">
      <c r="A114" s="2"/>
      <c r="B114" s="4">
        <v>42309</v>
      </c>
      <c r="C114" s="60">
        <v>440.6</v>
      </c>
      <c r="D114" s="6">
        <v>1.7138</v>
      </c>
      <c r="E114" s="6">
        <v>1.6343000000000001</v>
      </c>
      <c r="F114" s="2"/>
    </row>
    <row r="115" spans="1:6" x14ac:dyDescent="0.2">
      <c r="A115" s="2"/>
      <c r="B115" s="4">
        <v>42278</v>
      </c>
      <c r="C115" s="60">
        <v>454.77</v>
      </c>
      <c r="D115" s="6">
        <v>1.7254</v>
      </c>
      <c r="E115" s="6">
        <v>1.6517999999999999</v>
      </c>
      <c r="F115" s="2"/>
    </row>
    <row r="116" spans="1:6" x14ac:dyDescent="0.2">
      <c r="A116" s="2"/>
      <c r="B116" s="4">
        <v>42248</v>
      </c>
      <c r="C116" s="60">
        <v>471.6</v>
      </c>
      <c r="D116" s="6">
        <v>1.7459</v>
      </c>
      <c r="E116" s="6">
        <v>1.7661</v>
      </c>
      <c r="F116" s="2"/>
    </row>
    <row r="117" spans="1:6" x14ac:dyDescent="0.2">
      <c r="A117" s="2"/>
      <c r="B117" s="4">
        <v>42217</v>
      </c>
      <c r="C117" s="60">
        <v>480.72</v>
      </c>
      <c r="D117" s="6">
        <v>1.9603999999999999</v>
      </c>
      <c r="E117" s="6">
        <v>2.0259999999999998</v>
      </c>
      <c r="F117" s="2"/>
    </row>
    <row r="118" spans="1:6" x14ac:dyDescent="0.2">
      <c r="A118" s="2"/>
      <c r="B118" s="4">
        <v>42186</v>
      </c>
      <c r="C118" s="60">
        <v>472.76</v>
      </c>
      <c r="D118" s="6">
        <v>2.1255000000000002</v>
      </c>
      <c r="E118" s="6">
        <v>2.1878000000000002</v>
      </c>
      <c r="F118" s="2"/>
    </row>
    <row r="119" spans="1:6" x14ac:dyDescent="0.2">
      <c r="A119" s="2"/>
      <c r="B119" s="4">
        <v>42156</v>
      </c>
      <c r="C119" s="60">
        <v>470.73</v>
      </c>
      <c r="D119" s="6">
        <v>2.2368000000000001</v>
      </c>
      <c r="E119" s="6">
        <v>2.1518999999999999</v>
      </c>
      <c r="F119" s="2"/>
    </row>
    <row r="120" spans="1:6" x14ac:dyDescent="0.2">
      <c r="A120" s="2"/>
      <c r="B120" s="4">
        <v>42125</v>
      </c>
      <c r="C120" s="60">
        <v>488.75</v>
      </c>
      <c r="D120" s="6">
        <v>2.0924999999999998</v>
      </c>
      <c r="E120" s="6">
        <v>1.9355</v>
      </c>
      <c r="F120" s="2"/>
    </row>
    <row r="121" spans="1:6" x14ac:dyDescent="0.2">
      <c r="A121" s="2"/>
      <c r="B121" s="4">
        <v>42095</v>
      </c>
      <c r="C121" s="60">
        <v>517.01</v>
      </c>
      <c r="D121" s="6">
        <v>2.1334</v>
      </c>
      <c r="E121" s="6">
        <v>1.847</v>
      </c>
      <c r="F121" s="2"/>
    </row>
    <row r="122" spans="1:6" x14ac:dyDescent="0.2">
      <c r="A122" s="2"/>
      <c r="B122" s="4">
        <v>42064</v>
      </c>
      <c r="C122" s="60">
        <v>546.99</v>
      </c>
      <c r="D122" s="6">
        <v>2.1806999999999999</v>
      </c>
      <c r="E122" s="6">
        <v>1.7928999999999999</v>
      </c>
      <c r="F122" s="2"/>
    </row>
    <row r="123" spans="1:6" x14ac:dyDescent="0.2">
      <c r="A123" s="2"/>
      <c r="B123" s="4">
        <v>42036</v>
      </c>
      <c r="C123" s="60">
        <v>566.47</v>
      </c>
      <c r="D123" s="6">
        <v>1.9596</v>
      </c>
      <c r="E123" s="6">
        <v>1.6415999999999999</v>
      </c>
      <c r="F123" s="2"/>
    </row>
    <row r="124" spans="1:6" x14ac:dyDescent="0.2">
      <c r="A124" s="2"/>
      <c r="B124" s="4">
        <v>42005</v>
      </c>
      <c r="C124" s="60">
        <v>586.6</v>
      </c>
      <c r="D124" s="6">
        <v>2.2277999999999998</v>
      </c>
      <c r="E124" s="6">
        <v>1.8803000000000001</v>
      </c>
      <c r="F124" s="2"/>
    </row>
    <row r="125" spans="1:6" x14ac:dyDescent="0.2">
      <c r="A125" s="2"/>
      <c r="B125" s="4">
        <v>41974</v>
      </c>
      <c r="C125" s="60">
        <v>602.35</v>
      </c>
      <c r="D125" s="6">
        <v>2.6947999999999999</v>
      </c>
      <c r="E125" s="6">
        <v>2.2982</v>
      </c>
      <c r="F125" s="2"/>
    </row>
    <row r="126" spans="1:6" x14ac:dyDescent="0.2">
      <c r="A126" s="2"/>
      <c r="B126" s="4">
        <v>41944</v>
      </c>
      <c r="C126" s="60">
        <v>616.54</v>
      </c>
      <c r="D126" s="6">
        <v>2.8062999999999998</v>
      </c>
      <c r="E126" s="6">
        <v>2.4453999999999998</v>
      </c>
      <c r="F126" s="2"/>
    </row>
    <row r="127" spans="1:6" x14ac:dyDescent="0.2">
      <c r="A127" s="2"/>
      <c r="B127" s="4">
        <v>41913</v>
      </c>
      <c r="C127" s="60">
        <v>628.08000000000004</v>
      </c>
      <c r="D127" s="6">
        <v>3.0066000000000002</v>
      </c>
      <c r="E127" s="6">
        <v>2.8336999999999999</v>
      </c>
      <c r="F127" s="2"/>
    </row>
    <row r="128" spans="1:6" x14ac:dyDescent="0.2">
      <c r="A128" s="2"/>
      <c r="B128" s="4">
        <v>41883</v>
      </c>
      <c r="C128" s="60">
        <v>632.30999999999995</v>
      </c>
      <c r="D128" s="6">
        <v>3.1049000000000002</v>
      </c>
      <c r="E128" s="6">
        <v>2.8275999999999999</v>
      </c>
      <c r="F128" s="2"/>
    </row>
    <row r="129" spans="1:6" x14ac:dyDescent="0.2">
      <c r="A129" s="2"/>
      <c r="B129" s="4">
        <v>41852</v>
      </c>
      <c r="C129" s="60">
        <v>620.91</v>
      </c>
      <c r="D129" s="6">
        <v>3.1442000000000001</v>
      </c>
      <c r="E129" s="6">
        <v>2.8996</v>
      </c>
      <c r="F129" s="2"/>
    </row>
    <row r="130" spans="1:6" x14ac:dyDescent="0.2">
      <c r="A130" s="2"/>
      <c r="B130" s="4">
        <v>41821</v>
      </c>
      <c r="C130" s="60">
        <v>608.64</v>
      </c>
      <c r="D130" s="6">
        <v>3.2439</v>
      </c>
      <c r="E130" s="6">
        <v>3.0766</v>
      </c>
      <c r="F130" s="2"/>
    </row>
    <row r="131" spans="1:6" x14ac:dyDescent="0.2">
      <c r="A131" s="2"/>
      <c r="B131" s="4">
        <v>41791</v>
      </c>
      <c r="C131" s="60">
        <v>592.27</v>
      </c>
      <c r="D131" s="6">
        <v>3.2437</v>
      </c>
      <c r="E131" s="6">
        <v>3.1480000000000001</v>
      </c>
      <c r="F131" s="2"/>
    </row>
    <row r="132" spans="1:6" x14ac:dyDescent="0.2">
      <c r="A132" s="2"/>
      <c r="B132" s="4">
        <v>41760</v>
      </c>
      <c r="C132" s="60">
        <v>584.54999999999995</v>
      </c>
      <c r="D132" s="6">
        <v>3.3134999999999999</v>
      </c>
      <c r="E132" s="6">
        <v>3.1894</v>
      </c>
      <c r="F132" s="2"/>
    </row>
    <row r="133" spans="1:6" x14ac:dyDescent="0.2">
      <c r="A133" s="2"/>
      <c r="B133" s="4">
        <v>41730</v>
      </c>
      <c r="C133" s="60">
        <v>570.5</v>
      </c>
      <c r="D133" s="6">
        <v>3.3929999999999998</v>
      </c>
      <c r="E133" s="6">
        <v>2.9569000000000001</v>
      </c>
      <c r="F133" s="2"/>
    </row>
    <row r="134" spans="1:6" x14ac:dyDescent="0.2">
      <c r="A134" s="2"/>
      <c r="B134" s="4">
        <v>41699</v>
      </c>
      <c r="C134" s="60">
        <v>573.17999999999995</v>
      </c>
      <c r="D134" s="6">
        <v>3.4053</v>
      </c>
      <c r="E134" s="6">
        <v>2.8460999999999999</v>
      </c>
      <c r="F134" s="2"/>
    </row>
    <row r="135" spans="1:6" x14ac:dyDescent="0.2">
      <c r="A135" s="2"/>
      <c r="B135" s="4">
        <v>41671</v>
      </c>
      <c r="C135" s="60">
        <v>574.44000000000005</v>
      </c>
      <c r="D135" s="6">
        <v>3.2366999999999999</v>
      </c>
      <c r="E135" s="6">
        <v>2.7953000000000001</v>
      </c>
      <c r="F135" s="2"/>
    </row>
    <row r="136" spans="1:6" x14ac:dyDescent="0.2">
      <c r="A136" s="2"/>
      <c r="B136" s="4">
        <v>41640</v>
      </c>
      <c r="C136" s="60">
        <v>587.65</v>
      </c>
      <c r="D136" s="6">
        <v>3.2808999999999999</v>
      </c>
      <c r="E136" s="6">
        <v>2.7938000000000001</v>
      </c>
      <c r="F136" s="2"/>
    </row>
    <row r="137" spans="1:6" x14ac:dyDescent="0.2">
      <c r="A137" s="2"/>
      <c r="B137" s="4">
        <v>41609</v>
      </c>
      <c r="C137" s="60">
        <v>589.5</v>
      </c>
      <c r="D137" s="6">
        <v>3.1962000000000002</v>
      </c>
      <c r="E137" s="6">
        <v>2.7959000000000001</v>
      </c>
      <c r="F137" s="2"/>
    </row>
    <row r="138" spans="1:6" x14ac:dyDescent="0.2">
      <c r="A138" s="2"/>
      <c r="B138" s="4">
        <v>41579</v>
      </c>
      <c r="C138" s="60">
        <v>591.36</v>
      </c>
      <c r="D138" s="6">
        <v>3.2501000000000002</v>
      </c>
      <c r="E138" s="6">
        <v>2.8222</v>
      </c>
      <c r="F138" s="2"/>
    </row>
    <row r="139" spans="1:6" x14ac:dyDescent="0.2">
      <c r="A139" s="2"/>
      <c r="B139" s="4">
        <v>41548</v>
      </c>
      <c r="C139" s="60">
        <v>586.82000000000005</v>
      </c>
      <c r="D139" s="6">
        <v>3.3172999999999999</v>
      </c>
      <c r="E139" s="6">
        <v>2.8494000000000002</v>
      </c>
      <c r="F139" s="2"/>
    </row>
    <row r="140" spans="1:6" x14ac:dyDescent="0.2">
      <c r="A140" s="2"/>
      <c r="B140" s="4">
        <v>41518</v>
      </c>
      <c r="C140" s="60">
        <v>585.41999999999996</v>
      </c>
      <c r="D140" s="6">
        <v>3.3250000000000002</v>
      </c>
      <c r="E140" s="6">
        <v>2.9702999999999999</v>
      </c>
      <c r="F140" s="2"/>
    </row>
    <row r="141" spans="1:6" x14ac:dyDescent="0.2">
      <c r="A141" s="2"/>
      <c r="B141" s="4">
        <v>41487</v>
      </c>
      <c r="C141" s="60">
        <v>600</v>
      </c>
      <c r="D141" s="6">
        <v>3.2597</v>
      </c>
      <c r="E141" s="6">
        <v>2.9889000000000001</v>
      </c>
      <c r="F141" s="2"/>
    </row>
    <row r="142" spans="1:6" x14ac:dyDescent="0.2">
      <c r="A142" s="2"/>
      <c r="B142" s="4">
        <v>41456</v>
      </c>
      <c r="C142" s="60">
        <v>608.11</v>
      </c>
      <c r="D142" s="6">
        <v>3.1347999999999998</v>
      </c>
      <c r="E142" s="6">
        <v>2.8980999999999999</v>
      </c>
      <c r="F142" s="2"/>
    </row>
    <row r="143" spans="1:6" x14ac:dyDescent="0.2">
      <c r="A143" s="2"/>
      <c r="B143" s="4">
        <v>41426</v>
      </c>
      <c r="C143" s="60">
        <v>596.75</v>
      </c>
      <c r="D143" s="6">
        <v>3.1375000000000002</v>
      </c>
      <c r="E143" s="6">
        <v>2.9238</v>
      </c>
      <c r="F143" s="2"/>
    </row>
    <row r="144" spans="1:6" x14ac:dyDescent="0.2">
      <c r="A144" s="2"/>
      <c r="B144" s="4">
        <v>41395</v>
      </c>
      <c r="C144" s="60">
        <v>573</v>
      </c>
      <c r="D144" s="6">
        <v>3.1042000000000001</v>
      </c>
      <c r="E144" s="6">
        <v>2.9453</v>
      </c>
      <c r="F144" s="2"/>
    </row>
    <row r="145" spans="1:6" x14ac:dyDescent="0.2">
      <c r="A145" s="2"/>
      <c r="B145" s="4">
        <v>41365</v>
      </c>
      <c r="C145" s="60">
        <v>568.75</v>
      </c>
      <c r="D145" s="6">
        <v>3.3092000000000001</v>
      </c>
      <c r="E145" s="6">
        <v>3.1065999999999998</v>
      </c>
      <c r="F145" s="2"/>
    </row>
    <row r="146" spans="1:6" x14ac:dyDescent="0.2">
      <c r="A146" s="2"/>
      <c r="B146" s="4">
        <v>41334</v>
      </c>
      <c r="C146" s="60">
        <v>566.58000000000004</v>
      </c>
      <c r="D146" s="6">
        <v>3.4750999999999999</v>
      </c>
      <c r="E146" s="6">
        <v>3.2553000000000001</v>
      </c>
      <c r="F146" s="2"/>
    </row>
    <row r="147" spans="1:6" x14ac:dyDescent="0.2">
      <c r="A147" s="2"/>
      <c r="B147" s="4">
        <v>41322</v>
      </c>
      <c r="C147" s="60">
        <v>568.22</v>
      </c>
      <c r="D147" s="6">
        <v>3.55</v>
      </c>
      <c r="E147" s="6">
        <v>3.1406000000000001</v>
      </c>
      <c r="F147" s="2"/>
    </row>
    <row r="148" spans="1:6" x14ac:dyDescent="0.2">
      <c r="A148" s="2"/>
      <c r="B148" s="4">
        <v>41306</v>
      </c>
      <c r="C148" s="60">
        <v>559.91999999999996</v>
      </c>
      <c r="D148" s="6">
        <v>3.3957000000000002</v>
      </c>
      <c r="E148" s="6">
        <v>2.9872999999999998</v>
      </c>
      <c r="F148" s="2"/>
    </row>
    <row r="149" spans="1:6" x14ac:dyDescent="0.2">
      <c r="A149" s="2"/>
      <c r="B149" s="4">
        <v>41291</v>
      </c>
      <c r="C149" s="60">
        <v>560.75</v>
      </c>
      <c r="D149" s="6">
        <v>3.3597999999999999</v>
      </c>
      <c r="E149" s="6">
        <v>2.9378000000000002</v>
      </c>
      <c r="F149" s="2"/>
    </row>
    <row r="150" spans="1:6" x14ac:dyDescent="0.2">
      <c r="A150" s="2"/>
      <c r="B150" s="4">
        <v>41275</v>
      </c>
      <c r="C150" s="60">
        <v>562.83000000000004</v>
      </c>
      <c r="D150" s="6">
        <v>3.3794</v>
      </c>
      <c r="E150" s="6">
        <v>2.8915999999999999</v>
      </c>
      <c r="F150" s="2"/>
    </row>
    <row r="151" spans="1:6" x14ac:dyDescent="0.2">
      <c r="A151" s="2"/>
      <c r="B151" s="4">
        <v>41260</v>
      </c>
      <c r="C151" s="60">
        <v>560.33000000000004</v>
      </c>
      <c r="D151" s="6">
        <v>3.3942000000000001</v>
      </c>
      <c r="E151" s="6">
        <v>2.7597999999999998</v>
      </c>
      <c r="F151" s="2"/>
    </row>
    <row r="152" spans="1:6" x14ac:dyDescent="0.2">
      <c r="A152" s="2"/>
      <c r="B152" s="4">
        <v>41244</v>
      </c>
      <c r="C152" s="60">
        <v>561.16999999999996</v>
      </c>
      <c r="D152" s="6">
        <v>3.5289999999999999</v>
      </c>
      <c r="E152" s="6">
        <v>2.8988999999999998</v>
      </c>
      <c r="F152" s="2"/>
    </row>
    <row r="153" spans="1:6" x14ac:dyDescent="0.2">
      <c r="A153" s="2"/>
      <c r="B153" s="4">
        <v>41230</v>
      </c>
      <c r="C153" s="60">
        <v>561.08000000000004</v>
      </c>
      <c r="D153" s="6">
        <v>3.3647</v>
      </c>
      <c r="E153" s="6">
        <v>2.8161999999999998</v>
      </c>
      <c r="F153" s="2"/>
    </row>
    <row r="154" spans="1:6" x14ac:dyDescent="0.2">
      <c r="A154" s="2"/>
      <c r="B154" s="4">
        <v>41214</v>
      </c>
      <c r="C154" s="60">
        <v>562.75</v>
      </c>
      <c r="D154" s="6">
        <v>3.3898000000000001</v>
      </c>
      <c r="E154" s="6">
        <v>2.8140000000000001</v>
      </c>
      <c r="F154" s="2"/>
    </row>
    <row r="155" spans="1:6" x14ac:dyDescent="0.2">
      <c r="A155" s="2"/>
      <c r="B155" s="4">
        <v>41199</v>
      </c>
      <c r="C155" s="60">
        <v>569.83000000000004</v>
      </c>
      <c r="D155" s="6">
        <v>3.5125999999999999</v>
      </c>
      <c r="E155" s="6">
        <v>3.1781000000000001</v>
      </c>
      <c r="F155" s="2"/>
    </row>
    <row r="156" spans="1:6" x14ac:dyDescent="0.2">
      <c r="A156" s="2"/>
      <c r="B156" s="4">
        <v>41183</v>
      </c>
      <c r="C156" s="60">
        <v>571.91999999999996</v>
      </c>
      <c r="D156" s="6">
        <v>3.4375</v>
      </c>
      <c r="E156" s="6">
        <v>3.1612</v>
      </c>
      <c r="F156" s="2"/>
    </row>
    <row r="157" spans="1:6" x14ac:dyDescent="0.2">
      <c r="A157" s="2"/>
      <c r="B157" s="4">
        <v>41169</v>
      </c>
      <c r="C157" s="60">
        <v>582.88</v>
      </c>
      <c r="D157" s="6">
        <v>3.5255999999999998</v>
      </c>
      <c r="E157" s="6">
        <v>3.3024</v>
      </c>
      <c r="F157" s="2"/>
    </row>
    <row r="158" spans="1:6" x14ac:dyDescent="0.2">
      <c r="A158" s="2"/>
      <c r="B158" s="4">
        <v>41153</v>
      </c>
      <c r="C158" s="60">
        <v>585.16999999999996</v>
      </c>
      <c r="D158" s="6">
        <v>3.4971999999999999</v>
      </c>
      <c r="E158" s="6">
        <v>3.2480000000000002</v>
      </c>
      <c r="F158" s="2"/>
    </row>
    <row r="159" spans="1:6" x14ac:dyDescent="0.2">
      <c r="A159" s="2"/>
      <c r="B159" s="4">
        <v>41138</v>
      </c>
      <c r="C159" s="60">
        <v>601.41999999999996</v>
      </c>
      <c r="D159" s="6">
        <v>3.355</v>
      </c>
      <c r="E159" s="6">
        <v>3.1337000000000002</v>
      </c>
      <c r="F159" s="2"/>
    </row>
    <row r="160" spans="1:6" x14ac:dyDescent="0.2">
      <c r="A160" s="2"/>
      <c r="B160" s="4">
        <v>41122</v>
      </c>
      <c r="C160" s="60">
        <v>610.58000000000004</v>
      </c>
      <c r="D160" s="6">
        <v>3.2029999999999998</v>
      </c>
      <c r="E160" s="6">
        <v>2.9340999999999999</v>
      </c>
      <c r="F160" s="2"/>
    </row>
    <row r="161" spans="1:6" x14ac:dyDescent="0.2">
      <c r="A161" s="2"/>
      <c r="B161" s="4">
        <v>41107</v>
      </c>
      <c r="C161" s="60">
        <v>628.41999999999996</v>
      </c>
      <c r="D161" s="6">
        <v>3.1046</v>
      </c>
      <c r="E161" s="6">
        <v>2.7843</v>
      </c>
      <c r="F161" s="2"/>
    </row>
    <row r="162" spans="1:6" x14ac:dyDescent="0.2">
      <c r="A162" s="2"/>
      <c r="B162" s="4">
        <v>41091</v>
      </c>
      <c r="C162" s="60">
        <v>632.83000000000004</v>
      </c>
      <c r="D162" s="6">
        <v>2.9205999999999999</v>
      </c>
      <c r="E162" s="6">
        <v>2.6318999999999999</v>
      </c>
      <c r="F162" s="2"/>
    </row>
    <row r="163" spans="1:6" x14ac:dyDescent="0.2">
      <c r="A163" s="2"/>
      <c r="B163" s="4">
        <v>41077</v>
      </c>
      <c r="C163" s="60">
        <v>646.58000000000004</v>
      </c>
      <c r="D163" s="6">
        <v>2.9565999999999999</v>
      </c>
      <c r="E163" s="6">
        <v>2.8167</v>
      </c>
      <c r="F163" s="2"/>
    </row>
    <row r="164" spans="1:6" x14ac:dyDescent="0.2">
      <c r="A164" s="2"/>
      <c r="B164" s="4">
        <v>41061</v>
      </c>
      <c r="C164" s="60">
        <v>647.83000000000004</v>
      </c>
      <c r="D164" s="6">
        <v>3.1225999999999998</v>
      </c>
      <c r="E164" s="6">
        <v>2.9447000000000001</v>
      </c>
      <c r="F164" s="2"/>
    </row>
    <row r="165" spans="1:6" x14ac:dyDescent="0.2">
      <c r="A165" s="2"/>
      <c r="B165" s="4">
        <v>41046</v>
      </c>
      <c r="C165" s="60">
        <v>650.5</v>
      </c>
      <c r="D165" s="6">
        <v>3.3319000000000001</v>
      </c>
      <c r="E165" s="6">
        <v>3.0630999999999999</v>
      </c>
      <c r="F165" s="2"/>
    </row>
    <row r="166" spans="1:6" x14ac:dyDescent="0.2">
      <c r="A166" s="2"/>
      <c r="B166" s="4">
        <v>41030</v>
      </c>
      <c r="C166" s="60">
        <v>648.33000000000004</v>
      </c>
      <c r="D166" s="6">
        <v>3.4710999999999999</v>
      </c>
      <c r="E166" s="6">
        <v>3.1968000000000001</v>
      </c>
      <c r="F166" s="2"/>
    </row>
    <row r="167" spans="1:6" x14ac:dyDescent="0.2">
      <c r="A167" s="2"/>
      <c r="B167" s="4">
        <v>41016</v>
      </c>
      <c r="C167" s="60">
        <v>644.91999999999996</v>
      </c>
      <c r="D167" s="6">
        <v>3.5059</v>
      </c>
      <c r="E167" s="6">
        <v>3.4026000000000001</v>
      </c>
      <c r="F167" s="2"/>
    </row>
    <row r="168" spans="1:6" x14ac:dyDescent="0.2">
      <c r="A168" s="2"/>
      <c r="B168" s="4">
        <v>41000</v>
      </c>
      <c r="C168" s="60">
        <v>636.66999999999996</v>
      </c>
      <c r="D168" s="6">
        <v>3.5909</v>
      </c>
      <c r="E168" s="6">
        <v>3.4171</v>
      </c>
      <c r="F168" s="2"/>
    </row>
    <row r="169" spans="1:6" x14ac:dyDescent="0.2">
      <c r="A169" s="2"/>
      <c r="B169" s="4">
        <v>40985</v>
      </c>
      <c r="C169" s="60">
        <v>638.75</v>
      </c>
      <c r="D169" s="6">
        <v>3.5909</v>
      </c>
      <c r="E169" s="6">
        <v>3.2776999999999998</v>
      </c>
      <c r="F169" s="2"/>
    </row>
    <row r="170" spans="1:6" x14ac:dyDescent="0.2">
      <c r="A170" s="2"/>
      <c r="B170" s="4">
        <v>40969</v>
      </c>
      <c r="C170" s="60">
        <v>635.91</v>
      </c>
      <c r="D170" s="6">
        <v>3.5590999999999999</v>
      </c>
      <c r="E170" s="6">
        <v>3.2363</v>
      </c>
      <c r="F170" s="2"/>
    </row>
    <row r="171" spans="1:6" x14ac:dyDescent="0.2">
      <c r="A171" s="2"/>
      <c r="B171" s="4">
        <v>40956</v>
      </c>
      <c r="C171" s="60">
        <v>626.91</v>
      </c>
      <c r="D171" s="6">
        <v>3.4468000000000001</v>
      </c>
      <c r="E171" s="6">
        <v>3.0937999999999999</v>
      </c>
      <c r="F171" s="2"/>
    </row>
    <row r="172" spans="1:6" x14ac:dyDescent="0.2">
      <c r="A172" s="2"/>
      <c r="B172" s="4">
        <v>40940</v>
      </c>
      <c r="C172" s="60">
        <v>626</v>
      </c>
      <c r="D172" s="6">
        <v>3.3243999999999998</v>
      </c>
      <c r="E172" s="6">
        <v>2.9998</v>
      </c>
      <c r="F172" s="2"/>
    </row>
    <row r="173" spans="1:6" x14ac:dyDescent="0.2">
      <c r="A173" s="2"/>
      <c r="B173" s="4">
        <v>40925</v>
      </c>
      <c r="C173" s="60">
        <v>613.73</v>
      </c>
      <c r="D173" s="6">
        <v>3.3395999999999999</v>
      </c>
      <c r="E173" s="6">
        <v>2.9112</v>
      </c>
      <c r="F173" s="2"/>
    </row>
    <row r="174" spans="1:6" x14ac:dyDescent="0.2">
      <c r="A174" s="139"/>
      <c r="B174" s="4">
        <v>40909</v>
      </c>
      <c r="C174" s="60">
        <v>602.5</v>
      </c>
      <c r="D174" s="6">
        <v>3.1919</v>
      </c>
      <c r="E174" s="6">
        <v>2.7865000000000002</v>
      </c>
      <c r="F174" s="2"/>
    </row>
    <row r="175" spans="1:6" x14ac:dyDescent="0.2">
      <c r="A175" s="2"/>
      <c r="B175" s="4">
        <v>40894</v>
      </c>
      <c r="C175" s="60">
        <v>602.89</v>
      </c>
      <c r="D175" s="6">
        <v>3.2019000000000002</v>
      </c>
      <c r="E175" s="6">
        <v>2.7835000000000001</v>
      </c>
      <c r="F175" s="2"/>
    </row>
    <row r="176" spans="1:6" x14ac:dyDescent="0.2">
      <c r="A176" s="2"/>
      <c r="B176" s="4">
        <v>40878</v>
      </c>
      <c r="C176" s="60">
        <v>598.27</v>
      </c>
      <c r="D176" s="6">
        <v>3.3014999999999999</v>
      </c>
      <c r="E176" s="6">
        <v>2.7726000000000002</v>
      </c>
      <c r="F176" s="2"/>
    </row>
    <row r="177" spans="1:6" x14ac:dyDescent="0.2">
      <c r="A177" s="2"/>
      <c r="B177" s="4">
        <v>40864</v>
      </c>
      <c r="C177" s="60">
        <v>590.54999999999995</v>
      </c>
      <c r="D177" s="6">
        <v>3.4138999999999999</v>
      </c>
      <c r="E177" s="6">
        <v>2.8892000000000002</v>
      </c>
      <c r="F177" s="2"/>
    </row>
    <row r="178" spans="1:6" x14ac:dyDescent="0.2">
      <c r="A178" s="2"/>
      <c r="B178" s="4">
        <v>40848</v>
      </c>
      <c r="C178" s="60">
        <v>591.91</v>
      </c>
      <c r="D178" s="6">
        <v>3.3386999999999998</v>
      </c>
      <c r="E178" s="6">
        <v>2.9424999999999999</v>
      </c>
      <c r="F178" s="2"/>
    </row>
    <row r="179" spans="1:6" x14ac:dyDescent="0.2">
      <c r="A179" s="2"/>
      <c r="B179" s="4">
        <v>40833</v>
      </c>
      <c r="C179" s="60">
        <v>592.33000000000004</v>
      </c>
      <c r="D179" s="6">
        <v>3.1783000000000001</v>
      </c>
      <c r="E179" s="6">
        <v>2.9272</v>
      </c>
      <c r="F179" s="2"/>
    </row>
    <row r="180" spans="1:6" x14ac:dyDescent="0.2">
      <c r="A180" s="2"/>
      <c r="B180" s="4">
        <v>40817</v>
      </c>
      <c r="C180" s="60">
        <v>591.91</v>
      </c>
      <c r="D180" s="6">
        <v>3.2019000000000002</v>
      </c>
      <c r="E180" s="6">
        <v>2.8460999999999999</v>
      </c>
      <c r="F180" s="2"/>
    </row>
    <row r="181" spans="1:6" x14ac:dyDescent="0.2">
      <c r="A181" s="2"/>
      <c r="B181" s="4">
        <v>40803</v>
      </c>
      <c r="C181" s="60">
        <v>593.27</v>
      </c>
      <c r="D181" s="6">
        <v>3.3083999999999998</v>
      </c>
      <c r="E181" s="6">
        <v>3.0669</v>
      </c>
      <c r="F181" s="2"/>
    </row>
    <row r="182" spans="1:6" x14ac:dyDescent="0.2">
      <c r="A182" s="2"/>
      <c r="B182" s="4">
        <v>40787</v>
      </c>
      <c r="C182" s="60">
        <v>593.27</v>
      </c>
      <c r="D182" s="6">
        <v>3.3022999999999998</v>
      </c>
      <c r="E182" s="6">
        <v>3.0861000000000001</v>
      </c>
      <c r="F182" s="2"/>
    </row>
    <row r="183" spans="1:6" x14ac:dyDescent="0.2">
      <c r="A183" s="2"/>
      <c r="B183" s="4">
        <v>40772</v>
      </c>
      <c r="C183" s="60">
        <v>601.45000000000005</v>
      </c>
      <c r="D183" s="6">
        <v>3.2622</v>
      </c>
      <c r="E183" s="6">
        <v>3.0280999999999998</v>
      </c>
      <c r="F183" s="2"/>
    </row>
    <row r="184" spans="1:6" x14ac:dyDescent="0.2">
      <c r="A184" s="2"/>
      <c r="B184" s="4">
        <v>40756</v>
      </c>
      <c r="C184" s="60">
        <v>603.64</v>
      </c>
      <c r="D184" s="6">
        <v>3.4485000000000001</v>
      </c>
      <c r="E184" s="6">
        <v>3.2288999999999999</v>
      </c>
      <c r="F184" s="2"/>
    </row>
    <row r="185" spans="1:6" x14ac:dyDescent="0.2">
      <c r="A185" s="2"/>
      <c r="B185" s="4">
        <v>40741</v>
      </c>
      <c r="C185" s="60">
        <v>609.27</v>
      </c>
      <c r="D185" s="6">
        <v>3.3776000000000002</v>
      </c>
      <c r="E185" s="6">
        <v>3.2067999999999999</v>
      </c>
      <c r="F185" s="2"/>
    </row>
    <row r="186" spans="1:6" x14ac:dyDescent="0.2">
      <c r="A186" s="2"/>
      <c r="B186" s="4">
        <v>40725</v>
      </c>
      <c r="C186" s="60">
        <v>615.16999999999996</v>
      </c>
      <c r="D186" s="6">
        <v>3.23</v>
      </c>
      <c r="E186" s="6">
        <v>3.0510000000000002</v>
      </c>
      <c r="F186" s="2"/>
    </row>
    <row r="187" spans="1:6" x14ac:dyDescent="0.2">
      <c r="A187" s="2"/>
      <c r="B187" s="4">
        <v>40711</v>
      </c>
      <c r="C187" s="60">
        <v>617.66999999999996</v>
      </c>
      <c r="D187" s="6">
        <v>3.3974000000000002</v>
      </c>
      <c r="E187" s="6">
        <v>3.1456</v>
      </c>
      <c r="F187" s="2"/>
    </row>
    <row r="188" spans="1:6" x14ac:dyDescent="0.2">
      <c r="A188" s="2"/>
      <c r="B188" s="4">
        <v>40695</v>
      </c>
      <c r="C188" s="60">
        <v>616.54999999999995</v>
      </c>
      <c r="D188" s="6">
        <v>3.2765</v>
      </c>
      <c r="E188" s="6">
        <v>3.1533000000000002</v>
      </c>
      <c r="F188" s="2"/>
    </row>
    <row r="189" spans="1:6" x14ac:dyDescent="0.2">
      <c r="A189" s="2"/>
      <c r="B189" s="4">
        <v>40680</v>
      </c>
      <c r="C189" s="60">
        <v>613.89</v>
      </c>
      <c r="D189" s="6">
        <v>3.3736000000000002</v>
      </c>
      <c r="E189" s="6">
        <v>3.4580000000000002</v>
      </c>
      <c r="F189" s="2"/>
    </row>
    <row r="190" spans="1:6" x14ac:dyDescent="0.2">
      <c r="A190" s="2"/>
      <c r="B190" s="4">
        <v>40664</v>
      </c>
      <c r="C190" s="60">
        <v>618.89</v>
      </c>
      <c r="D190" s="6">
        <v>3.5339</v>
      </c>
      <c r="E190" s="6">
        <v>3.4643000000000002</v>
      </c>
      <c r="F190" s="2"/>
    </row>
    <row r="191" spans="1:6" x14ac:dyDescent="0.2">
      <c r="A191" s="2"/>
      <c r="B191" s="4">
        <v>40650</v>
      </c>
      <c r="C191" s="60">
        <v>536.44000000000005</v>
      </c>
      <c r="D191" s="6">
        <v>3.5224000000000002</v>
      </c>
      <c r="E191" s="6">
        <v>3.3698000000000001</v>
      </c>
      <c r="F191" s="2"/>
    </row>
    <row r="192" spans="1:6" x14ac:dyDescent="0.2">
      <c r="A192" s="2"/>
      <c r="B192" s="4">
        <v>40634</v>
      </c>
      <c r="C192" s="60">
        <v>534.11</v>
      </c>
      <c r="D192" s="6">
        <v>3.3929999999999998</v>
      </c>
      <c r="E192" s="6">
        <v>3.2004000000000001</v>
      </c>
      <c r="F192" s="2"/>
    </row>
    <row r="193" spans="1:6" x14ac:dyDescent="0.2">
      <c r="A193" s="2"/>
      <c r="B193" s="4">
        <v>40619</v>
      </c>
      <c r="C193" s="60">
        <v>521.89</v>
      </c>
      <c r="D193" s="6">
        <v>3.3734999999999999</v>
      </c>
      <c r="E193" s="6">
        <v>3.16</v>
      </c>
      <c r="F193" s="2"/>
    </row>
    <row r="194" spans="1:6" x14ac:dyDescent="0.2">
      <c r="A194" s="2"/>
      <c r="B194" s="4">
        <v>40603</v>
      </c>
      <c r="C194" s="60">
        <v>513</v>
      </c>
      <c r="D194" s="6">
        <v>3.1640000000000001</v>
      </c>
      <c r="E194" s="6">
        <v>2.9397000000000002</v>
      </c>
      <c r="F194" s="2"/>
    </row>
    <row r="195" spans="1:6" x14ac:dyDescent="0.2">
      <c r="A195" s="2"/>
      <c r="B195" s="4">
        <v>40591</v>
      </c>
      <c r="C195" s="60">
        <v>497.56</v>
      </c>
      <c r="D195" s="6">
        <v>3.0533999999999999</v>
      </c>
      <c r="E195" s="6">
        <v>2.7545000000000002</v>
      </c>
      <c r="F195" s="2"/>
    </row>
    <row r="196" spans="1:6" x14ac:dyDescent="0.2">
      <c r="A196" s="2"/>
      <c r="B196" s="4">
        <v>40575</v>
      </c>
      <c r="C196" s="60">
        <v>500.78</v>
      </c>
      <c r="D196" s="6">
        <v>2.9525999999999999</v>
      </c>
      <c r="E196" s="6">
        <v>2.7118000000000002</v>
      </c>
      <c r="F196" s="2"/>
    </row>
    <row r="197" spans="1:6" x14ac:dyDescent="0.2">
      <c r="A197" s="2"/>
      <c r="B197" s="4">
        <v>40560</v>
      </c>
      <c r="C197" s="60">
        <v>479.2</v>
      </c>
      <c r="D197" s="6">
        <v>2.8561000000000001</v>
      </c>
      <c r="E197" s="6">
        <v>2.7191999999999998</v>
      </c>
      <c r="F197" s="2"/>
    </row>
    <row r="198" spans="1:6" x14ac:dyDescent="0.2">
      <c r="A198" s="2"/>
      <c r="B198" s="4">
        <v>40544</v>
      </c>
      <c r="C198" s="60">
        <v>471.7</v>
      </c>
      <c r="D198" s="6">
        <v>2.8054000000000001</v>
      </c>
      <c r="E198" s="6">
        <v>2.6928000000000001</v>
      </c>
      <c r="F198" s="2"/>
    </row>
    <row r="199" spans="1:6" x14ac:dyDescent="0.2">
      <c r="A199" s="2"/>
      <c r="B199" s="4">
        <v>40529</v>
      </c>
      <c r="C199" s="60">
        <v>470.2</v>
      </c>
      <c r="D199" s="6">
        <v>2.7351000000000001</v>
      </c>
      <c r="E199" s="6">
        <v>2.6073</v>
      </c>
      <c r="F199" s="2"/>
    </row>
    <row r="200" spans="1:6" x14ac:dyDescent="0.2">
      <c r="A200" s="2"/>
      <c r="B200" s="4">
        <v>40513</v>
      </c>
      <c r="C200" s="60">
        <v>470.2</v>
      </c>
      <c r="D200" s="6">
        <v>2.6012</v>
      </c>
      <c r="E200" s="6">
        <v>2.4567000000000001</v>
      </c>
      <c r="F200" s="2"/>
    </row>
    <row r="201" spans="1:6" x14ac:dyDescent="0.2">
      <c r="A201" s="2"/>
      <c r="B201" s="4">
        <v>40499</v>
      </c>
      <c r="C201" s="60">
        <v>468.1</v>
      </c>
      <c r="D201" s="6">
        <v>2.6412</v>
      </c>
      <c r="E201" s="6">
        <v>2.4668000000000001</v>
      </c>
      <c r="F201" s="2"/>
    </row>
    <row r="202" spans="1:6" x14ac:dyDescent="0.2">
      <c r="A202" s="2"/>
      <c r="B202" s="4">
        <v>40483</v>
      </c>
      <c r="C202" s="60">
        <v>465.6</v>
      </c>
      <c r="D202" s="6">
        <v>2.5306999999999999</v>
      </c>
      <c r="E202" s="6">
        <v>2.3915999999999999</v>
      </c>
      <c r="F202" s="2"/>
    </row>
    <row r="203" spans="1:6" x14ac:dyDescent="0.2">
      <c r="A203" s="2"/>
      <c r="B203" s="4">
        <v>40468</v>
      </c>
      <c r="C203" s="60">
        <v>465.6</v>
      </c>
      <c r="D203" s="6">
        <v>2.5697000000000001</v>
      </c>
      <c r="E203" s="6">
        <v>2.4190999999999998</v>
      </c>
      <c r="F203" s="2"/>
    </row>
    <row r="204" spans="1:6" x14ac:dyDescent="0.2">
      <c r="A204" s="2"/>
      <c r="B204" s="4">
        <v>40452</v>
      </c>
      <c r="C204" s="60">
        <v>465.6</v>
      </c>
      <c r="D204" s="6">
        <v>2.4457</v>
      </c>
      <c r="E204" s="6">
        <v>2.2578999999999998</v>
      </c>
      <c r="F204" s="2"/>
    </row>
    <row r="205" spans="1:6" x14ac:dyDescent="0.2">
      <c r="A205" s="2"/>
      <c r="B205" s="4">
        <v>40438</v>
      </c>
      <c r="C205" s="60">
        <v>469.1</v>
      </c>
      <c r="D205" s="6">
        <v>2.4001000000000001</v>
      </c>
      <c r="E205" s="6">
        <v>2.2625000000000002</v>
      </c>
      <c r="F205" s="2"/>
    </row>
    <row r="206" spans="1:6" x14ac:dyDescent="0.2">
      <c r="A206" s="2"/>
      <c r="B206" s="4">
        <v>40422</v>
      </c>
      <c r="C206" s="60">
        <v>469.1</v>
      </c>
      <c r="D206" s="6">
        <v>2.3443999999999998</v>
      </c>
      <c r="E206" s="6">
        <v>2.1680000000000001</v>
      </c>
      <c r="F206" s="2"/>
    </row>
    <row r="207" spans="1:6" x14ac:dyDescent="0.2">
      <c r="A207" s="2"/>
      <c r="B207" s="4">
        <v>40407</v>
      </c>
      <c r="C207" s="60">
        <v>470.6</v>
      </c>
      <c r="D207" s="6">
        <v>2.4399000000000002</v>
      </c>
      <c r="E207" s="6">
        <v>2.2927</v>
      </c>
      <c r="F207" s="2"/>
    </row>
    <row r="208" spans="1:6" x14ac:dyDescent="0.2">
      <c r="A208" s="2"/>
      <c r="B208" s="4">
        <v>40391</v>
      </c>
      <c r="C208" s="60">
        <v>461.43</v>
      </c>
      <c r="D208" s="6">
        <v>2.351</v>
      </c>
      <c r="E208" s="6">
        <v>2.2726000000000002</v>
      </c>
      <c r="F208" s="2"/>
    </row>
    <row r="209" spans="1:6" x14ac:dyDescent="0.2">
      <c r="A209" s="2"/>
      <c r="B209" s="4">
        <v>40376</v>
      </c>
      <c r="C209" s="60">
        <v>486.6</v>
      </c>
      <c r="D209" s="6">
        <v>2.3075999999999999</v>
      </c>
      <c r="E209" s="6">
        <v>2.2210999999999999</v>
      </c>
      <c r="F209" s="2"/>
    </row>
    <row r="210" spans="1:6" x14ac:dyDescent="0.2">
      <c r="A210" s="2"/>
      <c r="B210" s="4">
        <v>40360</v>
      </c>
      <c r="C210" s="60">
        <v>488.1</v>
      </c>
      <c r="D210" s="6">
        <v>2.4131999999999998</v>
      </c>
      <c r="E210" s="6">
        <v>2.2919999999999998</v>
      </c>
      <c r="F210" s="2"/>
    </row>
    <row r="211" spans="1:6" x14ac:dyDescent="0.2">
      <c r="A211" s="2"/>
      <c r="B211" s="4">
        <v>40346</v>
      </c>
      <c r="C211" s="60">
        <v>499.2</v>
      </c>
      <c r="D211" s="6">
        <v>2.3176999999999999</v>
      </c>
      <c r="E211" s="6">
        <v>2.1974</v>
      </c>
      <c r="F211" s="2"/>
    </row>
    <row r="212" spans="1:6" x14ac:dyDescent="0.2">
      <c r="A212" s="2"/>
      <c r="B212" s="4">
        <v>40330</v>
      </c>
      <c r="C212" s="60">
        <v>499.2</v>
      </c>
      <c r="D212" s="6">
        <v>2.2924000000000002</v>
      </c>
      <c r="E212" s="6">
        <v>2.1919</v>
      </c>
      <c r="F212" s="2"/>
    </row>
    <row r="213" spans="1:6" x14ac:dyDescent="0.2">
      <c r="A213" s="2"/>
      <c r="B213" s="4">
        <v>40315</v>
      </c>
      <c r="C213" s="60">
        <v>521.9</v>
      </c>
      <c r="D213" s="6">
        <v>2.5335999999999999</v>
      </c>
      <c r="E213" s="6">
        <v>2.4178999999999999</v>
      </c>
      <c r="F213" s="2"/>
    </row>
    <row r="214" spans="1:6" x14ac:dyDescent="0.2">
      <c r="A214" s="2"/>
      <c r="B214" s="4">
        <v>40299</v>
      </c>
      <c r="C214" s="60">
        <v>521.9</v>
      </c>
      <c r="D214" s="6">
        <v>2.5577000000000001</v>
      </c>
      <c r="E214" s="6">
        <v>2.4626000000000001</v>
      </c>
      <c r="F214" s="2"/>
    </row>
    <row r="215" spans="1:6" x14ac:dyDescent="0.2">
      <c r="A215" s="2"/>
      <c r="B215" s="4">
        <v>40285</v>
      </c>
      <c r="C215" s="60">
        <v>521.9</v>
      </c>
      <c r="D215" s="6">
        <v>2.5470999999999999</v>
      </c>
      <c r="E215" s="6">
        <v>2.4529999999999998</v>
      </c>
      <c r="F215" s="2"/>
    </row>
    <row r="216" spans="1:6" x14ac:dyDescent="0.2">
      <c r="A216" s="2"/>
      <c r="B216" s="4">
        <v>40269</v>
      </c>
      <c r="C216" s="60">
        <v>520.9</v>
      </c>
      <c r="D216" s="6">
        <v>2.4319000000000002</v>
      </c>
      <c r="E216" s="6">
        <v>2.4020000000000001</v>
      </c>
      <c r="F216" s="2"/>
    </row>
    <row r="217" spans="1:6" x14ac:dyDescent="0.2">
      <c r="A217" s="2"/>
      <c r="B217" s="4">
        <v>40254</v>
      </c>
      <c r="C217" s="60">
        <v>503.9</v>
      </c>
      <c r="D217" s="6">
        <v>2.4045000000000001</v>
      </c>
      <c r="E217" s="6">
        <v>2.3936000000000002</v>
      </c>
      <c r="F217" s="2"/>
    </row>
    <row r="218" spans="1:6" x14ac:dyDescent="0.2">
      <c r="A218" s="2"/>
      <c r="B218" s="4">
        <v>40238</v>
      </c>
      <c r="C218" s="60">
        <v>496.7</v>
      </c>
      <c r="D218" s="6">
        <v>2.3519000000000001</v>
      </c>
      <c r="E218" s="6">
        <v>2.3157999999999999</v>
      </c>
      <c r="F218" s="2"/>
    </row>
    <row r="219" spans="1:6" x14ac:dyDescent="0.2">
      <c r="A219" s="2"/>
      <c r="B219" s="4">
        <v>40226</v>
      </c>
      <c r="C219" s="60">
        <v>466</v>
      </c>
      <c r="D219" s="6">
        <v>2.234</v>
      </c>
      <c r="E219" s="6">
        <v>2.1766999999999999</v>
      </c>
      <c r="F219" s="2"/>
    </row>
    <row r="220" spans="1:6" x14ac:dyDescent="0.2">
      <c r="A220" s="2"/>
      <c r="B220" s="4">
        <v>40210</v>
      </c>
      <c r="C220" s="60">
        <v>465</v>
      </c>
      <c r="D220" s="6">
        <v>2.2643</v>
      </c>
      <c r="E220" s="6">
        <v>2.2524000000000002</v>
      </c>
      <c r="F220" s="2"/>
    </row>
    <row r="221" spans="1:6" x14ac:dyDescent="0.2">
      <c r="A221" s="2"/>
      <c r="B221" s="4">
        <v>40195</v>
      </c>
      <c r="C221" s="60">
        <v>427.14</v>
      </c>
      <c r="D221" s="6">
        <v>2.4306999999999999</v>
      </c>
      <c r="E221" s="6">
        <v>2.3635000000000002</v>
      </c>
      <c r="F221" s="2"/>
    </row>
    <row r="222" spans="1:6" x14ac:dyDescent="0.2">
      <c r="A222" s="2"/>
      <c r="B222" s="4">
        <v>40179</v>
      </c>
      <c r="C222" s="60">
        <v>425.71</v>
      </c>
      <c r="D222" s="6">
        <v>2.2732000000000001</v>
      </c>
      <c r="E222" s="6">
        <v>2.2153999999999998</v>
      </c>
      <c r="F222" s="2"/>
    </row>
    <row r="223" spans="1:6" x14ac:dyDescent="0.2">
      <c r="A223" s="2"/>
      <c r="B223" s="4">
        <v>40164</v>
      </c>
      <c r="C223" s="60">
        <v>418</v>
      </c>
      <c r="D223" s="6">
        <v>2.2402000000000002</v>
      </c>
      <c r="E223" s="6">
        <v>2.1920000000000002</v>
      </c>
      <c r="F223" s="2"/>
    </row>
    <row r="224" spans="1:6" x14ac:dyDescent="0.2">
      <c r="A224" s="2"/>
      <c r="B224" s="4">
        <v>40148</v>
      </c>
      <c r="C224" s="60">
        <v>413.75</v>
      </c>
      <c r="D224" s="6">
        <v>2.2711999999999999</v>
      </c>
      <c r="E224" s="6">
        <v>2.2433000000000001</v>
      </c>
      <c r="F224" s="2"/>
    </row>
    <row r="225" spans="1:6" x14ac:dyDescent="0.2">
      <c r="A225" s="2"/>
      <c r="B225" s="4">
        <v>40134</v>
      </c>
      <c r="C225" s="60">
        <v>407.5</v>
      </c>
      <c r="D225" s="6">
        <v>2.2919999999999998</v>
      </c>
      <c r="E225" s="6">
        <v>2.2307000000000001</v>
      </c>
      <c r="F225" s="2"/>
    </row>
    <row r="226" spans="1:6" x14ac:dyDescent="0.2">
      <c r="A226" s="2"/>
      <c r="B226" s="4">
        <v>40118</v>
      </c>
      <c r="C226" s="60">
        <v>405</v>
      </c>
      <c r="D226" s="6">
        <v>2.3351000000000002</v>
      </c>
      <c r="E226" s="6">
        <v>2.2707000000000002</v>
      </c>
      <c r="F226" s="2"/>
    </row>
    <row r="227" spans="1:6" x14ac:dyDescent="0.2">
      <c r="A227" s="2"/>
      <c r="B227" s="4">
        <v>40103</v>
      </c>
      <c r="C227" s="60">
        <v>403.75</v>
      </c>
      <c r="D227" s="6">
        <v>2.1469</v>
      </c>
      <c r="E227" s="6">
        <v>2.0316999999999998</v>
      </c>
      <c r="F227" s="2"/>
    </row>
    <row r="228" spans="1:6" x14ac:dyDescent="0.2">
      <c r="A228" s="2"/>
      <c r="B228" s="4">
        <v>40087</v>
      </c>
      <c r="C228" s="60">
        <v>403.75</v>
      </c>
      <c r="D228" s="6">
        <v>2.0648</v>
      </c>
      <c r="E228" s="6">
        <v>1.9938</v>
      </c>
      <c r="F228" s="2"/>
    </row>
    <row r="229" spans="1:6" x14ac:dyDescent="0.2">
      <c r="A229" s="2"/>
      <c r="B229" s="4">
        <v>40073</v>
      </c>
      <c r="C229" s="60">
        <v>405</v>
      </c>
      <c r="D229" s="6">
        <v>2.0560999999999998</v>
      </c>
      <c r="E229" s="6">
        <v>2.0354999999999999</v>
      </c>
      <c r="F229" s="2"/>
    </row>
    <row r="230" spans="1:6" x14ac:dyDescent="0.2">
      <c r="A230" s="2"/>
      <c r="B230" s="4">
        <v>40057</v>
      </c>
      <c r="C230" s="60">
        <v>405</v>
      </c>
      <c r="D230" s="6">
        <v>2.1817000000000002</v>
      </c>
      <c r="E230" s="6">
        <v>2.1141000000000001</v>
      </c>
      <c r="F230" s="2"/>
    </row>
    <row r="231" spans="1:6" x14ac:dyDescent="0.2">
      <c r="A231" s="2"/>
      <c r="B231" s="4">
        <v>40042</v>
      </c>
      <c r="C231" s="60">
        <v>406.25</v>
      </c>
      <c r="D231" s="6">
        <v>2.1983999999999999</v>
      </c>
      <c r="E231" s="6">
        <v>2.1806000000000001</v>
      </c>
      <c r="F231" s="2"/>
    </row>
    <row r="232" spans="1:6" x14ac:dyDescent="0.2">
      <c r="A232" s="2"/>
      <c r="B232" s="4">
        <v>40026</v>
      </c>
      <c r="C232" s="60">
        <v>405</v>
      </c>
      <c r="D232" s="6">
        <v>2.0577000000000001</v>
      </c>
      <c r="E232" s="6">
        <v>2.0152999999999999</v>
      </c>
      <c r="F232" s="2"/>
    </row>
    <row r="233" spans="1:6" x14ac:dyDescent="0.2">
      <c r="A233" s="2"/>
      <c r="B233" s="4">
        <v>40011</v>
      </c>
      <c r="C233" s="60">
        <v>383.75</v>
      </c>
      <c r="D233" s="6">
        <v>1.9189000000000001</v>
      </c>
      <c r="E233" s="6">
        <v>1.9178999999999999</v>
      </c>
      <c r="F233" s="2"/>
    </row>
    <row r="234" spans="1:6" x14ac:dyDescent="0.2">
      <c r="A234" s="2"/>
      <c r="B234" s="4">
        <v>39995</v>
      </c>
      <c r="C234" s="60">
        <v>385.63</v>
      </c>
      <c r="D234" s="6">
        <v>2.0943999999999998</v>
      </c>
      <c r="E234" s="6">
        <v>2.1309999999999998</v>
      </c>
      <c r="F234" s="2"/>
    </row>
    <row r="235" spans="1:6" x14ac:dyDescent="0.2">
      <c r="A235" s="2"/>
      <c r="B235" s="4">
        <v>39981</v>
      </c>
      <c r="C235" s="60">
        <v>363.13</v>
      </c>
      <c r="D235" s="6">
        <v>2.0720999999999998</v>
      </c>
      <c r="E235" s="6">
        <v>2.2023000000000001</v>
      </c>
      <c r="F235" s="2"/>
    </row>
    <row r="236" spans="1:6" x14ac:dyDescent="0.2">
      <c r="A236" s="2"/>
      <c r="B236" s="4">
        <v>39965</v>
      </c>
      <c r="C236" s="60">
        <v>361.88</v>
      </c>
      <c r="D236" s="6">
        <v>1.8095000000000001</v>
      </c>
      <c r="E236" s="6">
        <v>2.0209999999999999</v>
      </c>
      <c r="F236" s="2"/>
    </row>
    <row r="237" spans="1:6" x14ac:dyDescent="0.2">
      <c r="A237" s="2"/>
      <c r="B237" s="4">
        <v>39950</v>
      </c>
      <c r="C237" s="60">
        <v>351.88</v>
      </c>
      <c r="D237" s="6">
        <v>1.7496</v>
      </c>
      <c r="E237" s="6">
        <v>1.8327</v>
      </c>
      <c r="F237" s="2"/>
    </row>
    <row r="238" spans="1:6" x14ac:dyDescent="0.2">
      <c r="A238" s="2"/>
      <c r="B238" s="4">
        <v>39934</v>
      </c>
      <c r="C238" s="60">
        <v>348.75</v>
      </c>
      <c r="D238" s="6">
        <v>1.6816</v>
      </c>
      <c r="E238" s="6">
        <v>1.621</v>
      </c>
      <c r="F238" s="2"/>
    </row>
    <row r="239" spans="1:6" x14ac:dyDescent="0.2">
      <c r="A239" s="2"/>
      <c r="B239" s="4">
        <v>39920</v>
      </c>
      <c r="C239" s="60">
        <v>353.13</v>
      </c>
      <c r="D239" s="6">
        <v>1.726</v>
      </c>
      <c r="E239" s="6">
        <v>1.6311</v>
      </c>
      <c r="F239" s="2"/>
    </row>
    <row r="240" spans="1:6" x14ac:dyDescent="0.2">
      <c r="A240" s="2"/>
      <c r="B240" s="4">
        <v>39904</v>
      </c>
      <c r="C240" s="60">
        <v>362.78</v>
      </c>
      <c r="D240" s="6">
        <v>1.675</v>
      </c>
      <c r="E240" s="6">
        <v>1.6132</v>
      </c>
      <c r="F240" s="2"/>
    </row>
    <row r="241" spans="1:6" x14ac:dyDescent="0.2">
      <c r="A241" s="2"/>
      <c r="B241" s="4">
        <v>39889</v>
      </c>
      <c r="C241" s="60">
        <v>363.33</v>
      </c>
      <c r="D241" s="6">
        <v>1.4916</v>
      </c>
      <c r="E241" s="6">
        <v>1.5394000000000001</v>
      </c>
      <c r="F241" s="2"/>
    </row>
    <row r="242" spans="1:6" x14ac:dyDescent="0.2">
      <c r="A242" s="2"/>
      <c r="B242" s="4">
        <v>39873</v>
      </c>
      <c r="C242" s="60">
        <v>368.89</v>
      </c>
      <c r="D242" s="6">
        <v>1.5279</v>
      </c>
      <c r="E242" s="6">
        <v>1.4444999999999999</v>
      </c>
      <c r="F242" s="2"/>
    </row>
    <row r="243" spans="1:6" x14ac:dyDescent="0.2">
      <c r="A243" s="2"/>
      <c r="B243" s="4">
        <v>39861</v>
      </c>
      <c r="C243" s="60">
        <v>390.56</v>
      </c>
      <c r="D243" s="6">
        <v>1.6378999999999999</v>
      </c>
      <c r="E243" s="6">
        <v>1.5491999999999999</v>
      </c>
      <c r="F243" s="2"/>
    </row>
    <row r="244" spans="1:6" x14ac:dyDescent="0.2">
      <c r="A244" s="2"/>
      <c r="B244" s="4">
        <v>39845</v>
      </c>
      <c r="C244" s="60">
        <v>409.38</v>
      </c>
      <c r="D244" s="6">
        <v>1.6738999999999999</v>
      </c>
      <c r="E244" s="6">
        <v>1.4520999999999999</v>
      </c>
      <c r="F244" s="2"/>
    </row>
    <row r="245" spans="1:6" x14ac:dyDescent="0.2">
      <c r="A245" s="2"/>
      <c r="B245" s="4">
        <v>39830</v>
      </c>
      <c r="C245" s="60">
        <v>401.67</v>
      </c>
      <c r="D245" s="6">
        <v>1.7771999999999999</v>
      </c>
      <c r="E245" s="6">
        <v>1.3997999999999999</v>
      </c>
      <c r="F245" s="2"/>
    </row>
    <row r="246" spans="1:6" x14ac:dyDescent="0.2">
      <c r="A246" s="2"/>
      <c r="B246" s="4">
        <v>39814</v>
      </c>
      <c r="C246" s="60">
        <v>421.11</v>
      </c>
      <c r="D246" s="6">
        <v>1.6339999999999999</v>
      </c>
      <c r="E246" s="6">
        <v>1.2083999999999999</v>
      </c>
      <c r="F246" s="2"/>
    </row>
    <row r="247" spans="1:6" x14ac:dyDescent="0.2">
      <c r="A247" s="2"/>
      <c r="B247" s="4">
        <v>39799</v>
      </c>
      <c r="C247" s="60">
        <v>446.11</v>
      </c>
      <c r="D247" s="6">
        <v>1.78</v>
      </c>
      <c r="E247" s="6">
        <v>1.2841</v>
      </c>
      <c r="F247" s="2"/>
    </row>
    <row r="248" spans="1:6" x14ac:dyDescent="0.2">
      <c r="A248" s="2"/>
      <c r="B248" s="4">
        <v>39783</v>
      </c>
      <c r="C248" s="60">
        <v>504.44</v>
      </c>
      <c r="D248" s="6">
        <v>2.0729000000000002</v>
      </c>
      <c r="E248" s="6">
        <v>1.4547000000000001</v>
      </c>
      <c r="F248" s="2"/>
    </row>
    <row r="249" spans="1:6" x14ac:dyDescent="0.2">
      <c r="A249" s="2"/>
      <c r="B249" s="4">
        <v>39769</v>
      </c>
      <c r="C249" s="60">
        <v>538.89</v>
      </c>
      <c r="D249" s="6">
        <v>2.3774999999999999</v>
      </c>
      <c r="E249" s="6">
        <v>1.742</v>
      </c>
      <c r="F249" s="2"/>
    </row>
    <row r="250" spans="1:6" x14ac:dyDescent="0.2">
      <c r="A250" s="2"/>
      <c r="B250" s="4">
        <v>39753</v>
      </c>
      <c r="C250" s="60">
        <v>603.33000000000004</v>
      </c>
      <c r="D250" s="6">
        <v>2.4897</v>
      </c>
      <c r="E250" s="6">
        <v>1.9959</v>
      </c>
      <c r="F250" s="2"/>
    </row>
    <row r="251" spans="1:6" x14ac:dyDescent="0.2">
      <c r="A251" s="2"/>
      <c r="B251" s="4">
        <v>39738</v>
      </c>
      <c r="C251" s="60">
        <v>650</v>
      </c>
      <c r="D251" s="6">
        <v>3.0036999999999998</v>
      </c>
      <c r="E251" s="6">
        <v>2.5455999999999999</v>
      </c>
      <c r="F251" s="2"/>
    </row>
    <row r="252" spans="1:6" x14ac:dyDescent="0.2">
      <c r="A252" s="2"/>
      <c r="B252" s="4">
        <v>39722</v>
      </c>
      <c r="C252" s="60">
        <v>681.36</v>
      </c>
      <c r="D252" s="6">
        <v>3.4051</v>
      </c>
      <c r="E252" s="6">
        <v>3.1467000000000001</v>
      </c>
      <c r="F252" s="2"/>
    </row>
    <row r="253" spans="1:6" x14ac:dyDescent="0.2">
      <c r="A253" s="2"/>
      <c r="B253" s="4">
        <v>39708</v>
      </c>
      <c r="C253" s="60">
        <v>726.11</v>
      </c>
      <c r="D253" s="6">
        <v>3.4674999999999998</v>
      </c>
      <c r="E253" s="6">
        <v>3.4228000000000001</v>
      </c>
      <c r="F253" s="2"/>
    </row>
    <row r="254" spans="1:6" x14ac:dyDescent="0.2">
      <c r="A254" s="2"/>
      <c r="B254" s="4">
        <v>39692</v>
      </c>
      <c r="C254" s="60">
        <v>747.86</v>
      </c>
      <c r="D254" s="6">
        <v>3.5177</v>
      </c>
      <c r="E254" s="6">
        <v>3.1435</v>
      </c>
      <c r="F254" s="2"/>
    </row>
    <row r="255" spans="1:6" x14ac:dyDescent="0.2">
      <c r="A255" s="2"/>
      <c r="B255" s="4">
        <v>39677</v>
      </c>
      <c r="C255" s="60">
        <v>802.22</v>
      </c>
      <c r="D255" s="6">
        <v>3.5657999999999999</v>
      </c>
      <c r="E255" s="6">
        <v>3.2481</v>
      </c>
      <c r="F255" s="2"/>
    </row>
    <row r="256" spans="1:6" x14ac:dyDescent="0.2">
      <c r="A256" s="2"/>
      <c r="B256" s="4">
        <v>39661</v>
      </c>
      <c r="C256" s="60">
        <v>807.78</v>
      </c>
      <c r="D256" s="6">
        <v>3.9668000000000001</v>
      </c>
      <c r="E256" s="6">
        <v>3.3252999999999999</v>
      </c>
      <c r="F256" s="2"/>
    </row>
    <row r="257" spans="1:6" x14ac:dyDescent="0.2">
      <c r="A257" s="2"/>
      <c r="B257" s="4">
        <v>39646</v>
      </c>
      <c r="C257" s="60">
        <v>693.89</v>
      </c>
      <c r="D257" s="6">
        <v>4.3249000000000004</v>
      </c>
      <c r="E257" s="6">
        <v>3.6486999999999998</v>
      </c>
      <c r="F257" s="2"/>
    </row>
    <row r="258" spans="1:6" x14ac:dyDescent="0.2">
      <c r="A258" s="2"/>
      <c r="B258" s="4">
        <v>39630</v>
      </c>
      <c r="C258" s="60">
        <v>621.11</v>
      </c>
      <c r="D258" s="6">
        <v>4.1470000000000002</v>
      </c>
      <c r="E258" s="6">
        <v>3.613</v>
      </c>
      <c r="F258" s="2"/>
    </row>
    <row r="259" spans="1:6" x14ac:dyDescent="0.2">
      <c r="A259" s="2"/>
      <c r="B259" s="4">
        <v>39616</v>
      </c>
      <c r="C259" s="60">
        <v>506.67</v>
      </c>
      <c r="D259" s="6">
        <v>4.1402000000000001</v>
      </c>
      <c r="E259" s="6">
        <v>3.5548999999999999</v>
      </c>
      <c r="F259" s="2"/>
    </row>
    <row r="260" spans="1:6" x14ac:dyDescent="0.2">
      <c r="A260" s="2"/>
      <c r="B260" s="4">
        <v>39600</v>
      </c>
      <c r="C260" s="60">
        <v>502.78</v>
      </c>
      <c r="D260" s="6">
        <v>4.2187000000000001</v>
      </c>
      <c r="E260" s="6">
        <v>3.5066999999999999</v>
      </c>
      <c r="F260" s="2"/>
    </row>
    <row r="261" spans="1:6" x14ac:dyDescent="0.2">
      <c r="A261" s="2"/>
      <c r="B261" s="4">
        <v>39585</v>
      </c>
      <c r="C261" s="60">
        <v>434.44</v>
      </c>
      <c r="D261" s="6">
        <v>3.8635999999999999</v>
      </c>
      <c r="E261" s="6">
        <v>3.2965</v>
      </c>
      <c r="F261" s="2"/>
    </row>
    <row r="262" spans="1:6" x14ac:dyDescent="0.2">
      <c r="A262" s="2"/>
      <c r="B262" s="4">
        <v>39569</v>
      </c>
      <c r="C262" s="60">
        <v>431.11</v>
      </c>
      <c r="D262" s="6">
        <v>3.7246000000000001</v>
      </c>
      <c r="E262" s="6">
        <v>3.2006999999999999</v>
      </c>
      <c r="F262" s="2"/>
    </row>
    <row r="263" spans="1:6" x14ac:dyDescent="0.2">
      <c r="A263" s="1"/>
      <c r="B263" s="4">
        <v>39555</v>
      </c>
      <c r="C263" s="60">
        <v>420.56</v>
      </c>
      <c r="D263" s="6">
        <v>3.5768</v>
      </c>
      <c r="E263" s="6">
        <v>2.9716</v>
      </c>
      <c r="F263" s="1"/>
    </row>
    <row r="264" spans="1:6" x14ac:dyDescent="0.2">
      <c r="A264" s="1"/>
      <c r="B264" s="4">
        <v>39539</v>
      </c>
      <c r="C264" s="60">
        <v>415</v>
      </c>
      <c r="D264" s="6">
        <v>3.4468999999999999</v>
      </c>
      <c r="E264" s="6">
        <v>2.8654000000000002</v>
      </c>
      <c r="F264" s="1"/>
    </row>
    <row r="265" spans="1:6" x14ac:dyDescent="0.2">
      <c r="A265" s="1"/>
      <c r="B265" s="4">
        <v>39524</v>
      </c>
      <c r="C265" s="60">
        <v>380.56</v>
      </c>
      <c r="D265" s="6">
        <v>3.4264000000000001</v>
      </c>
      <c r="E265" s="6">
        <v>2.8672</v>
      </c>
      <c r="F265" s="1"/>
    </row>
    <row r="266" spans="1:6" x14ac:dyDescent="0.2">
      <c r="A266" s="1"/>
      <c r="B266" s="4">
        <v>39508</v>
      </c>
      <c r="C266" s="60">
        <v>360</v>
      </c>
      <c r="D266" s="6">
        <v>3.1728000000000001</v>
      </c>
      <c r="E266" s="6">
        <v>2.8060999999999998</v>
      </c>
      <c r="F266" s="1"/>
    </row>
    <row r="267" spans="1:6" x14ac:dyDescent="0.2">
      <c r="A267" s="1"/>
      <c r="B267" s="4">
        <v>39495</v>
      </c>
      <c r="C267" s="60">
        <v>361.25</v>
      </c>
      <c r="D267" s="6">
        <v>2.8719000000000001</v>
      </c>
      <c r="E267" s="6">
        <v>2.5748000000000002</v>
      </c>
      <c r="F267" s="1"/>
    </row>
    <row r="268" spans="1:6" x14ac:dyDescent="0.2">
      <c r="A268" s="1"/>
      <c r="B268" s="4">
        <v>39479</v>
      </c>
      <c r="C268" s="60">
        <v>355</v>
      </c>
      <c r="D268" s="6">
        <v>2.8086000000000002</v>
      </c>
      <c r="E268" s="6">
        <v>2.5669</v>
      </c>
      <c r="F268" s="1"/>
    </row>
    <row r="269" spans="1:6" x14ac:dyDescent="0.2">
      <c r="A269" s="1"/>
      <c r="B269" s="4">
        <v>39464</v>
      </c>
      <c r="C269" s="60">
        <v>356.25</v>
      </c>
      <c r="D269" s="6">
        <v>2.8811</v>
      </c>
      <c r="E269" s="6">
        <v>2.6608000000000001</v>
      </c>
      <c r="F269" s="1"/>
    </row>
    <row r="270" spans="1:6" x14ac:dyDescent="0.2">
      <c r="A270" s="1"/>
      <c r="B270" s="4">
        <v>39448</v>
      </c>
      <c r="C270" s="60">
        <v>351.67</v>
      </c>
      <c r="D270" s="6">
        <v>2.8774000000000002</v>
      </c>
      <c r="E270" s="6">
        <v>2.5674999999999999</v>
      </c>
      <c r="F270" s="1"/>
    </row>
    <row r="271" spans="1:6" x14ac:dyDescent="0.2">
      <c r="A271" s="1"/>
      <c r="B271" s="4">
        <v>39433</v>
      </c>
      <c r="C271" s="60">
        <v>326.67</v>
      </c>
      <c r="D271" s="6">
        <v>2.8195999999999999</v>
      </c>
      <c r="E271" s="6">
        <v>2.4946999999999999</v>
      </c>
      <c r="F271" s="1"/>
    </row>
    <row r="272" spans="1:6" x14ac:dyDescent="0.2">
      <c r="A272" s="1"/>
      <c r="B272" s="4">
        <v>39417</v>
      </c>
      <c r="C272" s="60">
        <v>325.56</v>
      </c>
      <c r="D272" s="6">
        <v>2.9748000000000001</v>
      </c>
      <c r="E272" s="6">
        <v>2.6339000000000001</v>
      </c>
      <c r="F272" s="1"/>
    </row>
    <row r="273" spans="1:6" x14ac:dyDescent="0.2">
      <c r="A273" s="1"/>
      <c r="B273" s="4">
        <v>39403</v>
      </c>
      <c r="C273" s="60">
        <v>322.77999999999997</v>
      </c>
      <c r="D273" s="6">
        <v>2.9251</v>
      </c>
      <c r="E273" s="6">
        <v>2.6585000000000001</v>
      </c>
      <c r="F273" s="1"/>
    </row>
    <row r="274" spans="1:6" x14ac:dyDescent="0.2">
      <c r="A274" s="1"/>
      <c r="B274" s="4">
        <v>39387</v>
      </c>
      <c r="C274" s="60">
        <v>319.44</v>
      </c>
      <c r="D274" s="6">
        <v>2.7134999999999998</v>
      </c>
      <c r="E274" s="6">
        <v>2.4401999999999999</v>
      </c>
      <c r="F274" s="1"/>
    </row>
    <row r="275" spans="1:6" x14ac:dyDescent="0.2">
      <c r="A275" s="1"/>
      <c r="B275" s="4">
        <v>39372</v>
      </c>
      <c r="C275" s="60">
        <v>318.33</v>
      </c>
      <c r="D275" s="6">
        <v>2.6785000000000001</v>
      </c>
      <c r="E275" s="6">
        <v>2.4058999999999999</v>
      </c>
      <c r="F275" s="1"/>
    </row>
    <row r="276" spans="1:6" x14ac:dyDescent="0.2">
      <c r="A276" s="1"/>
      <c r="B276" s="4">
        <v>39356</v>
      </c>
      <c r="C276" s="60">
        <v>317.22000000000003</v>
      </c>
      <c r="D276" s="6">
        <v>2.6135000000000002</v>
      </c>
      <c r="E276" s="6">
        <v>2.3913000000000002</v>
      </c>
      <c r="F276" s="1"/>
    </row>
    <row r="277" spans="1:6" x14ac:dyDescent="0.2">
      <c r="A277" s="1"/>
      <c r="B277" s="4">
        <v>39342</v>
      </c>
      <c r="C277" s="60">
        <v>321.44</v>
      </c>
      <c r="D277" s="6">
        <v>2.4609000000000001</v>
      </c>
      <c r="E277" s="6">
        <v>2.4354</v>
      </c>
      <c r="F277" s="1"/>
    </row>
    <row r="278" spans="1:6" x14ac:dyDescent="0.2">
      <c r="A278" s="1"/>
      <c r="B278" s="4">
        <v>39326</v>
      </c>
      <c r="C278" s="60">
        <v>349.44</v>
      </c>
      <c r="D278" s="6">
        <v>2.3908</v>
      </c>
      <c r="E278" s="6">
        <v>2.2153</v>
      </c>
      <c r="F278" s="1"/>
    </row>
    <row r="279" spans="1:6" x14ac:dyDescent="0.2">
      <c r="A279" s="1"/>
      <c r="B279" s="4">
        <v>39311</v>
      </c>
      <c r="C279" s="60">
        <v>345.56</v>
      </c>
      <c r="D279" s="6">
        <v>2.2924000000000002</v>
      </c>
      <c r="E279" s="6">
        <v>2.2524999999999999</v>
      </c>
      <c r="F279" s="1"/>
    </row>
    <row r="280" spans="1:6" x14ac:dyDescent="0.2">
      <c r="A280" s="1"/>
      <c r="B280" s="4">
        <v>39295</v>
      </c>
      <c r="C280" s="60">
        <v>345.56</v>
      </c>
      <c r="D280" s="6">
        <v>2.4047000000000001</v>
      </c>
      <c r="E280" s="6">
        <v>2.3658999999999999</v>
      </c>
      <c r="F280" s="1"/>
    </row>
    <row r="281" spans="1:6" x14ac:dyDescent="0.2">
      <c r="A281" s="1"/>
      <c r="B281" s="4">
        <v>39280</v>
      </c>
      <c r="C281" s="60">
        <v>325</v>
      </c>
      <c r="D281" s="6">
        <v>2.4510000000000001</v>
      </c>
      <c r="E281" s="6">
        <v>2.6133000000000002</v>
      </c>
      <c r="F281" s="1"/>
    </row>
    <row r="282" spans="1:6" x14ac:dyDescent="0.2">
      <c r="A282" s="1"/>
      <c r="B282" s="4">
        <v>39264</v>
      </c>
      <c r="C282" s="60">
        <v>321.67</v>
      </c>
      <c r="D282" s="6">
        <v>2.4182999999999999</v>
      </c>
      <c r="E282" s="6">
        <v>2.5284</v>
      </c>
      <c r="F282" s="1"/>
    </row>
    <row r="283" spans="1:6" x14ac:dyDescent="0.2">
      <c r="A283" s="1"/>
      <c r="B283" s="4">
        <v>39250</v>
      </c>
      <c r="C283" s="60">
        <v>316.67</v>
      </c>
      <c r="D283" s="6">
        <v>2.3801999999999999</v>
      </c>
      <c r="E283" s="6">
        <v>2.5516000000000001</v>
      </c>
      <c r="F283" s="1"/>
    </row>
    <row r="284" spans="1:6" x14ac:dyDescent="0.2">
      <c r="A284" s="1"/>
      <c r="B284" s="4">
        <v>39234</v>
      </c>
      <c r="C284" s="60">
        <v>313.33</v>
      </c>
      <c r="D284" s="6">
        <v>2.3584999999999998</v>
      </c>
      <c r="E284" s="6">
        <v>2.6063000000000001</v>
      </c>
      <c r="F284" s="1"/>
    </row>
    <row r="285" spans="1:6" x14ac:dyDescent="0.2">
      <c r="A285" s="1"/>
      <c r="B285" s="4">
        <v>39219</v>
      </c>
      <c r="C285" s="60">
        <v>308.75</v>
      </c>
      <c r="D285" s="6">
        <v>2.2488000000000001</v>
      </c>
      <c r="E285" s="6">
        <v>2.5773000000000001</v>
      </c>
      <c r="F285" s="1"/>
    </row>
    <row r="286" spans="1:6" x14ac:dyDescent="0.2">
      <c r="A286" s="1"/>
      <c r="B286" s="4">
        <v>39203</v>
      </c>
      <c r="C286" s="60">
        <v>308.75</v>
      </c>
      <c r="D286" s="6">
        <v>2.2774000000000001</v>
      </c>
      <c r="E286" s="6">
        <v>2.6284999999999998</v>
      </c>
      <c r="F286" s="1"/>
    </row>
    <row r="287" spans="1:6" x14ac:dyDescent="0.2">
      <c r="A287" s="1"/>
      <c r="B287" s="4">
        <v>39189</v>
      </c>
      <c r="C287" s="60">
        <v>308.75</v>
      </c>
      <c r="D287" s="6">
        <v>2.4115000000000002</v>
      </c>
      <c r="E287" s="6">
        <v>2.4963000000000002</v>
      </c>
      <c r="F287" s="1"/>
    </row>
    <row r="288" spans="1:6" x14ac:dyDescent="0.2">
      <c r="A288" s="1"/>
      <c r="B288" s="4">
        <v>39173</v>
      </c>
      <c r="C288" s="60">
        <v>312.89</v>
      </c>
      <c r="D288" s="6">
        <v>2.1522999999999999</v>
      </c>
      <c r="E288" s="6">
        <v>2.1573000000000002</v>
      </c>
      <c r="F288" s="1"/>
    </row>
    <row r="289" spans="1:6" x14ac:dyDescent="0.2">
      <c r="A289" s="1"/>
      <c r="B289" s="4">
        <v>39158</v>
      </c>
      <c r="C289" s="60">
        <v>309.56</v>
      </c>
      <c r="D289" s="6">
        <v>2.2841</v>
      </c>
      <c r="E289" s="6">
        <v>2.1516000000000002</v>
      </c>
      <c r="F289" s="1"/>
    </row>
    <row r="290" spans="1:6" x14ac:dyDescent="0.2">
      <c r="A290" s="1"/>
      <c r="B290" s="4">
        <v>39142</v>
      </c>
      <c r="C290" s="60">
        <v>309.56</v>
      </c>
      <c r="D290" s="6">
        <v>2.0788000000000002</v>
      </c>
      <c r="E290" s="6">
        <v>1.9918</v>
      </c>
      <c r="F290" s="1"/>
    </row>
    <row r="291" spans="1:6" x14ac:dyDescent="0.2">
      <c r="A291" s="1"/>
      <c r="B291" s="4">
        <v>39130</v>
      </c>
      <c r="C291" s="60">
        <v>311.22000000000003</v>
      </c>
      <c r="D291" s="6">
        <v>2.0385</v>
      </c>
      <c r="E291" s="6">
        <v>1.8163</v>
      </c>
      <c r="F291" s="1"/>
    </row>
    <row r="292" spans="1:6" x14ac:dyDescent="0.2">
      <c r="A292" s="1"/>
      <c r="B292" s="4">
        <v>39114</v>
      </c>
      <c r="C292" s="60">
        <v>309.56</v>
      </c>
      <c r="D292" s="6">
        <v>1.9726999999999999</v>
      </c>
      <c r="E292" s="6">
        <v>1.7526999999999999</v>
      </c>
      <c r="F292" s="1"/>
    </row>
    <row r="293" spans="1:6" x14ac:dyDescent="0.2">
      <c r="A293" s="1"/>
      <c r="B293" s="4">
        <v>39099</v>
      </c>
      <c r="C293" s="60">
        <v>314</v>
      </c>
      <c r="D293" s="6">
        <v>1.9035</v>
      </c>
      <c r="E293" s="6">
        <v>1.7276</v>
      </c>
      <c r="F293" s="1"/>
    </row>
    <row r="294" spans="1:6" x14ac:dyDescent="0.2">
      <c r="A294" s="1"/>
      <c r="B294" s="4">
        <v>39083</v>
      </c>
      <c r="C294" s="60">
        <v>314</v>
      </c>
      <c r="D294" s="6">
        <v>2.0929000000000002</v>
      </c>
      <c r="E294" s="6">
        <v>1.988</v>
      </c>
      <c r="F294" s="1"/>
    </row>
    <row r="295" spans="1:6" x14ac:dyDescent="0.2">
      <c r="A295" s="1"/>
      <c r="B295" s="4">
        <v>39068</v>
      </c>
      <c r="C295" s="60">
        <v>314</v>
      </c>
      <c r="D295" s="6">
        <v>2.1619999999999999</v>
      </c>
      <c r="E295" s="6">
        <v>1.9054</v>
      </c>
      <c r="F295" s="1"/>
    </row>
    <row r="296" spans="1:6" x14ac:dyDescent="0.2">
      <c r="A296" s="1"/>
      <c r="B296" s="4">
        <v>39052</v>
      </c>
      <c r="C296" s="60">
        <v>318.67</v>
      </c>
      <c r="D296" s="6">
        <v>2.1808999999999998</v>
      </c>
      <c r="E296" s="6">
        <v>1.9276</v>
      </c>
      <c r="F296" s="1"/>
    </row>
    <row r="297" spans="1:6" x14ac:dyDescent="0.2">
      <c r="A297" s="1"/>
      <c r="B297" s="4">
        <v>39038</v>
      </c>
      <c r="C297" s="60">
        <v>338.78</v>
      </c>
      <c r="D297" s="6">
        <v>2.1271</v>
      </c>
      <c r="E297" s="6">
        <v>1.9187000000000001</v>
      </c>
      <c r="F297" s="1"/>
    </row>
    <row r="298" spans="1:6" x14ac:dyDescent="0.2">
      <c r="A298" s="1"/>
      <c r="B298" s="4">
        <v>39022</v>
      </c>
      <c r="C298" s="60">
        <v>351.33</v>
      </c>
      <c r="D298" s="6">
        <v>2.0836000000000001</v>
      </c>
      <c r="E298" s="6">
        <v>1.8956999999999999</v>
      </c>
      <c r="F298" s="1"/>
    </row>
    <row r="299" spans="1:6" x14ac:dyDescent="0.2">
      <c r="A299" s="1"/>
      <c r="B299" s="4">
        <v>39007</v>
      </c>
      <c r="C299" s="60">
        <v>376.11</v>
      </c>
      <c r="D299" s="6">
        <v>2.0518999999999998</v>
      </c>
      <c r="E299" s="6">
        <v>1.8304</v>
      </c>
      <c r="F299" s="1"/>
    </row>
    <row r="300" spans="1:6" x14ac:dyDescent="0.2">
      <c r="A300" s="1"/>
      <c r="B300" s="4">
        <v>38991</v>
      </c>
      <c r="C300" s="60">
        <v>396.67</v>
      </c>
      <c r="D300" s="6">
        <v>1.9832000000000001</v>
      </c>
      <c r="E300" s="6">
        <v>1.8229</v>
      </c>
      <c r="F300" s="1"/>
    </row>
    <row r="301" spans="1:6" x14ac:dyDescent="0.2">
      <c r="A301" s="1"/>
      <c r="B301" s="4">
        <v>38977</v>
      </c>
      <c r="C301" s="60">
        <v>417.22</v>
      </c>
      <c r="D301" s="6">
        <v>2.2957000000000001</v>
      </c>
      <c r="E301" s="6">
        <v>2.0001000000000002</v>
      </c>
      <c r="F301" s="1"/>
    </row>
    <row r="302" spans="1:6" x14ac:dyDescent="0.2">
      <c r="A302" s="1"/>
      <c r="B302" s="4">
        <v>38961</v>
      </c>
      <c r="C302" s="5">
        <v>417.22</v>
      </c>
      <c r="D302" s="6">
        <v>2.4045999999999998</v>
      </c>
      <c r="E302" s="6">
        <v>2.1309</v>
      </c>
      <c r="F302" s="1"/>
    </row>
    <row r="303" spans="1:6" x14ac:dyDescent="0.2">
      <c r="A303" s="1"/>
      <c r="B303" s="4">
        <v>38946</v>
      </c>
      <c r="C303" s="5">
        <v>411.88</v>
      </c>
      <c r="D303" s="6">
        <v>2.4493999999999998</v>
      </c>
      <c r="E303" s="6">
        <v>2.3391000000000002</v>
      </c>
      <c r="F303" s="1"/>
    </row>
    <row r="304" spans="1:6" x14ac:dyDescent="0.2">
      <c r="A304" s="1"/>
      <c r="B304" s="4">
        <v>38930</v>
      </c>
      <c r="C304" s="5">
        <v>411.25</v>
      </c>
      <c r="D304" s="6">
        <v>2.5777999999999999</v>
      </c>
      <c r="E304" s="6">
        <v>2.5680999999999998</v>
      </c>
      <c r="F304" s="1"/>
    </row>
    <row r="305" spans="1:6" x14ac:dyDescent="0.2">
      <c r="A305" s="1"/>
      <c r="B305" s="4">
        <v>38915</v>
      </c>
      <c r="C305" s="5">
        <v>405.56</v>
      </c>
      <c r="D305" s="6">
        <v>2.5299999999999998</v>
      </c>
      <c r="E305" s="6">
        <v>2.59</v>
      </c>
      <c r="F305" s="1"/>
    </row>
    <row r="306" spans="1:6" x14ac:dyDescent="0.2">
      <c r="A306" s="1"/>
      <c r="B306" s="4">
        <v>38899</v>
      </c>
      <c r="C306" s="5">
        <v>391.25</v>
      </c>
      <c r="D306" s="6">
        <v>2.3281000000000001</v>
      </c>
      <c r="E306" s="6">
        <v>2.3445</v>
      </c>
      <c r="F306" s="1"/>
    </row>
    <row r="307" spans="1:6" x14ac:dyDescent="0.2">
      <c r="A307" s="1"/>
      <c r="B307" s="4">
        <v>38885</v>
      </c>
      <c r="C307" s="5">
        <v>369.38</v>
      </c>
      <c r="D307" s="6">
        <v>2.4782999999999999</v>
      </c>
      <c r="E307" s="6">
        <v>2.4218999999999999</v>
      </c>
      <c r="F307" s="1"/>
    </row>
    <row r="308" spans="1:6" x14ac:dyDescent="0.2">
      <c r="A308" s="1"/>
      <c r="B308" s="4">
        <v>38869</v>
      </c>
      <c r="C308" s="5">
        <v>367.22</v>
      </c>
      <c r="D308" s="6">
        <v>2.3490000000000002</v>
      </c>
      <c r="E308" s="6">
        <v>2.2496999999999998</v>
      </c>
      <c r="F308" s="1"/>
    </row>
    <row r="309" spans="1:6" x14ac:dyDescent="0.2">
      <c r="A309" s="1"/>
      <c r="B309" s="4">
        <v>38854</v>
      </c>
      <c r="C309" s="5">
        <v>357.56</v>
      </c>
      <c r="D309" s="6">
        <v>2.4659</v>
      </c>
      <c r="E309" s="6">
        <v>2.4533999999999998</v>
      </c>
      <c r="F309" s="1"/>
    </row>
    <row r="310" spans="1:6" x14ac:dyDescent="0.2">
      <c r="A310" s="1"/>
      <c r="B310" s="4">
        <v>38838</v>
      </c>
      <c r="C310" s="5">
        <v>348.11</v>
      </c>
      <c r="D310" s="6">
        <v>2.4811999999999999</v>
      </c>
      <c r="E310" s="6">
        <v>2.5796000000000001</v>
      </c>
      <c r="F310" s="1"/>
    </row>
    <row r="311" spans="1:6" x14ac:dyDescent="0.2">
      <c r="A311" s="1"/>
      <c r="B311" s="4">
        <v>38824</v>
      </c>
      <c r="C311" s="5">
        <v>318</v>
      </c>
      <c r="D311" s="6">
        <v>2.2269999999999999</v>
      </c>
      <c r="E311" s="6">
        <v>2.3573</v>
      </c>
      <c r="F311" s="1"/>
    </row>
    <row r="312" spans="1:6" x14ac:dyDescent="0.2">
      <c r="A312" s="1"/>
      <c r="B312" s="4">
        <v>38808</v>
      </c>
      <c r="C312" s="5">
        <v>303.89</v>
      </c>
      <c r="D312" s="6">
        <v>2.0973999999999999</v>
      </c>
      <c r="E312" s="6">
        <v>2.0394000000000001</v>
      </c>
      <c r="F312" s="1"/>
    </row>
    <row r="313" spans="1:6" x14ac:dyDescent="0.2">
      <c r="A313" s="1"/>
      <c r="B313" s="4">
        <v>38793</v>
      </c>
      <c r="C313" s="5">
        <v>286.13</v>
      </c>
      <c r="D313" s="6">
        <v>2.0905999999999998</v>
      </c>
      <c r="E313" s="6">
        <v>1.9729000000000001</v>
      </c>
      <c r="F313" s="1"/>
    </row>
    <row r="314" spans="1:6" x14ac:dyDescent="0.2">
      <c r="A314" s="1"/>
      <c r="B314" s="4">
        <v>38777</v>
      </c>
      <c r="C314" s="5">
        <v>275.56</v>
      </c>
      <c r="D314" s="6">
        <v>2.0318000000000001</v>
      </c>
      <c r="E314" s="6">
        <v>1.7757000000000001</v>
      </c>
      <c r="F314" s="1"/>
    </row>
    <row r="315" spans="1:6" x14ac:dyDescent="0.2">
      <c r="A315" s="1"/>
      <c r="B315" s="4">
        <v>38765</v>
      </c>
      <c r="C315" s="5">
        <v>272.08999999999997</v>
      </c>
      <c r="D315" s="6">
        <v>2.0038999999999998</v>
      </c>
      <c r="E315" s="6">
        <v>1.8122</v>
      </c>
      <c r="F315" s="1"/>
    </row>
    <row r="316" spans="1:6" x14ac:dyDescent="0.2">
      <c r="A316" s="1"/>
      <c r="B316" s="4">
        <v>38749</v>
      </c>
      <c r="C316" s="5">
        <v>252.2</v>
      </c>
      <c r="D316" s="6">
        <v>2.0787</v>
      </c>
      <c r="E316" s="6">
        <v>1.8967000000000001</v>
      </c>
      <c r="F316" s="1"/>
    </row>
    <row r="317" spans="1:6" x14ac:dyDescent="0.2">
      <c r="A317" s="1"/>
      <c r="B317" s="4">
        <v>38734</v>
      </c>
      <c r="C317" s="5">
        <v>248.75</v>
      </c>
      <c r="D317" s="6">
        <v>1.9710000000000001</v>
      </c>
      <c r="E317" s="6">
        <v>1.9484999999999999</v>
      </c>
      <c r="F317" s="1"/>
    </row>
    <row r="318" spans="1:6" x14ac:dyDescent="0.2">
      <c r="A318" s="1"/>
      <c r="B318" s="4">
        <v>38718</v>
      </c>
      <c r="C318" s="5">
        <v>246.67</v>
      </c>
      <c r="D318" s="6">
        <v>2.0550000000000002</v>
      </c>
      <c r="E318" s="6">
        <v>1.94</v>
      </c>
      <c r="F318" s="1"/>
    </row>
    <row r="319" spans="1:6" x14ac:dyDescent="0.2">
      <c r="A319" s="1"/>
      <c r="B319" s="4">
        <v>38703</v>
      </c>
      <c r="C319" s="5">
        <v>247.22</v>
      </c>
      <c r="D319" s="6">
        <v>2.0049999999999999</v>
      </c>
      <c r="E319" s="6">
        <v>1.8149999999999999</v>
      </c>
      <c r="F319" s="1"/>
    </row>
    <row r="320" spans="1:6" x14ac:dyDescent="0.2">
      <c r="A320" s="1"/>
      <c r="B320" s="4">
        <v>38687</v>
      </c>
      <c r="C320" s="5">
        <v>249.38</v>
      </c>
      <c r="D320" s="6">
        <v>1.91</v>
      </c>
      <c r="E320" s="6">
        <v>1.6879999999999999</v>
      </c>
      <c r="F320" s="1"/>
    </row>
    <row r="321" spans="1:6" x14ac:dyDescent="0.2">
      <c r="A321" s="1"/>
      <c r="B321" s="4">
        <v>38673</v>
      </c>
      <c r="C321" s="5">
        <v>246.67</v>
      </c>
      <c r="D321" s="6">
        <v>1.9926999999999999</v>
      </c>
      <c r="E321" s="6">
        <v>1.7361</v>
      </c>
      <c r="F321" s="1"/>
    </row>
    <row r="322" spans="1:6" x14ac:dyDescent="0.2">
      <c r="A322" s="1"/>
      <c r="B322" s="4">
        <v>38657</v>
      </c>
      <c r="C322" s="5">
        <v>247.62</v>
      </c>
      <c r="D322" s="6">
        <v>2.1676000000000002</v>
      </c>
      <c r="E322" s="6">
        <v>1.905</v>
      </c>
      <c r="F322" s="1"/>
    </row>
    <row r="323" spans="1:6" x14ac:dyDescent="0.2">
      <c r="A323" s="1"/>
      <c r="B323" s="4">
        <v>38642</v>
      </c>
      <c r="C323" s="5">
        <v>247.8</v>
      </c>
      <c r="D323" s="6">
        <v>2.7149000000000001</v>
      </c>
      <c r="E323" s="6">
        <v>2.1555</v>
      </c>
      <c r="F323" s="1"/>
    </row>
    <row r="324" spans="1:6" x14ac:dyDescent="0.2">
      <c r="A324" s="1"/>
      <c r="B324" s="4">
        <v>38626</v>
      </c>
      <c r="C324" s="5">
        <v>242.33</v>
      </c>
      <c r="D324" s="6">
        <v>2.9687999999999999</v>
      </c>
      <c r="E324" s="6">
        <v>2.7328000000000001</v>
      </c>
      <c r="F324" s="1"/>
    </row>
    <row r="325" spans="1:6" x14ac:dyDescent="0.2">
      <c r="A325" s="1"/>
      <c r="B325" s="4">
        <v>38612</v>
      </c>
      <c r="C325" s="5">
        <v>235.2</v>
      </c>
      <c r="D325" s="6">
        <v>2.2004000000000001</v>
      </c>
      <c r="E325" s="6">
        <v>2.1358999999999999</v>
      </c>
      <c r="F325" s="1"/>
    </row>
    <row r="326" spans="1:6" x14ac:dyDescent="0.2">
      <c r="A326" s="1"/>
      <c r="B326" s="4">
        <v>38596</v>
      </c>
      <c r="C326" s="5">
        <v>232.22</v>
      </c>
      <c r="D326" s="6">
        <v>2.4451000000000001</v>
      </c>
      <c r="E326" s="6">
        <v>2.7012</v>
      </c>
      <c r="F326" s="1"/>
    </row>
    <row r="327" spans="1:6" x14ac:dyDescent="0.2">
      <c r="A327" s="1"/>
      <c r="B327" s="4">
        <v>38581</v>
      </c>
      <c r="C327" s="5">
        <v>226.7</v>
      </c>
      <c r="D327" s="6">
        <v>2.1032000000000002</v>
      </c>
      <c r="E327" s="6">
        <v>2.0903</v>
      </c>
      <c r="F327" s="1"/>
    </row>
    <row r="328" spans="1:6" x14ac:dyDescent="0.2">
      <c r="A328" s="1"/>
      <c r="B328" s="4">
        <v>38565</v>
      </c>
      <c r="C328" s="5">
        <v>226.2</v>
      </c>
      <c r="D328" s="6">
        <v>1.8386</v>
      </c>
      <c r="E328" s="6">
        <v>1.8227</v>
      </c>
      <c r="F328" s="1"/>
    </row>
    <row r="329" spans="1:6" x14ac:dyDescent="0.2">
      <c r="A329" s="1"/>
      <c r="B329" s="4">
        <v>38550</v>
      </c>
      <c r="C329" s="5">
        <v>224.4</v>
      </c>
      <c r="D329" s="6">
        <v>2.0589</v>
      </c>
      <c r="E329" s="6">
        <v>1.9375</v>
      </c>
      <c r="F329" s="1"/>
    </row>
    <row r="330" spans="1:6" x14ac:dyDescent="0.2">
      <c r="A330" s="1"/>
      <c r="B330" s="4">
        <v>38534</v>
      </c>
      <c r="C330" s="5">
        <v>223</v>
      </c>
      <c r="D330" s="6">
        <v>1.9157999999999999</v>
      </c>
      <c r="E330" s="6">
        <v>1.8025</v>
      </c>
      <c r="F330" s="1"/>
    </row>
    <row r="331" spans="1:6" x14ac:dyDescent="0.2">
      <c r="A331" s="1"/>
      <c r="B331" s="4">
        <v>38520</v>
      </c>
      <c r="C331" s="5">
        <v>213.13</v>
      </c>
      <c r="D331" s="6">
        <v>1.8795999999999999</v>
      </c>
      <c r="E331" s="6">
        <v>1.7122999999999999</v>
      </c>
      <c r="F331" s="1"/>
    </row>
    <row r="332" spans="1:6" x14ac:dyDescent="0.2">
      <c r="A332" s="1"/>
      <c r="B332" s="4">
        <v>38504</v>
      </c>
      <c r="C332" s="5">
        <v>215</v>
      </c>
      <c r="D332" s="6">
        <v>1.7670999999999999</v>
      </c>
      <c r="E332" s="6">
        <v>1.6571</v>
      </c>
      <c r="F332" s="1"/>
    </row>
    <row r="333" spans="1:6" x14ac:dyDescent="0.2">
      <c r="A333" s="1"/>
      <c r="B333" s="4">
        <v>38489</v>
      </c>
      <c r="C333" s="5">
        <v>213.75</v>
      </c>
      <c r="D333" s="6">
        <v>1.7323999999999999</v>
      </c>
      <c r="E333" s="6">
        <v>1.7013</v>
      </c>
      <c r="F333" s="1"/>
    </row>
    <row r="334" spans="1:6" x14ac:dyDescent="0.2">
      <c r="A334" s="1"/>
      <c r="B334" s="4">
        <v>38473</v>
      </c>
      <c r="C334" s="5">
        <v>216.5</v>
      </c>
      <c r="D334" s="6">
        <v>1.8444</v>
      </c>
      <c r="E334" s="6">
        <v>1.7888999999999999</v>
      </c>
      <c r="F334" s="1"/>
    </row>
    <row r="335" spans="1:6" x14ac:dyDescent="0.2">
      <c r="A335" s="1"/>
      <c r="B335" s="4">
        <v>38459</v>
      </c>
      <c r="C335" s="5">
        <v>214.38</v>
      </c>
      <c r="D335" s="6">
        <v>1.8735999999999999</v>
      </c>
      <c r="E335" s="6">
        <v>1.8638999999999999</v>
      </c>
      <c r="F335" s="1"/>
    </row>
    <row r="336" spans="1:6" x14ac:dyDescent="0.2">
      <c r="A336" s="1"/>
      <c r="B336" s="4">
        <v>38443</v>
      </c>
      <c r="C336" s="5">
        <v>213.75</v>
      </c>
      <c r="D336" s="6">
        <v>1.7981</v>
      </c>
      <c r="E336" s="6">
        <v>1.7846</v>
      </c>
      <c r="F336" s="1"/>
    </row>
    <row r="337" spans="1:6" x14ac:dyDescent="0.2">
      <c r="A337" s="1"/>
      <c r="B337" s="4">
        <v>38428</v>
      </c>
      <c r="C337" s="5">
        <v>192.5</v>
      </c>
      <c r="D337" s="6">
        <v>1.78</v>
      </c>
      <c r="E337" s="6">
        <v>1.6892</v>
      </c>
      <c r="F337" s="1"/>
    </row>
    <row r="338" spans="1:6" x14ac:dyDescent="0.2">
      <c r="A338" s="1"/>
      <c r="B338" s="4">
        <v>38412</v>
      </c>
      <c r="C338" s="5">
        <v>193.5</v>
      </c>
      <c r="D338" s="6">
        <v>1.7264999999999999</v>
      </c>
      <c r="E338" s="6">
        <v>1.5471999999999999</v>
      </c>
      <c r="F338" s="1"/>
    </row>
    <row r="339" spans="1:6" x14ac:dyDescent="0.2">
      <c r="A339" s="1"/>
      <c r="B339" s="4">
        <v>38400</v>
      </c>
      <c r="C339" s="5">
        <v>193</v>
      </c>
      <c r="D339" s="6">
        <v>1.5327999999999999</v>
      </c>
      <c r="E339" s="6">
        <v>1.4579</v>
      </c>
      <c r="F339" s="1"/>
    </row>
    <row r="340" spans="1:6" x14ac:dyDescent="0.2">
      <c r="A340" s="1"/>
      <c r="B340" s="4">
        <v>38384</v>
      </c>
      <c r="C340" s="5">
        <v>193.75</v>
      </c>
      <c r="D340" s="6">
        <v>1.6188</v>
      </c>
      <c r="E340" s="6">
        <v>1.573</v>
      </c>
      <c r="F340" s="1"/>
    </row>
    <row r="341" spans="1:6" x14ac:dyDescent="0.2">
      <c r="A341" s="1"/>
      <c r="B341" s="4">
        <v>38369</v>
      </c>
      <c r="C341" s="5">
        <v>203.33</v>
      </c>
      <c r="D341" s="6">
        <v>1.4548000000000001</v>
      </c>
      <c r="E341" s="6">
        <v>1.4164000000000001</v>
      </c>
      <c r="F341" s="1"/>
    </row>
    <row r="342" spans="1:6" x14ac:dyDescent="0.2">
      <c r="A342" s="1"/>
      <c r="B342" s="4">
        <v>38353</v>
      </c>
      <c r="C342" s="5">
        <v>197</v>
      </c>
      <c r="D342" s="6">
        <v>1.5696000000000001</v>
      </c>
      <c r="E342" s="6">
        <v>1.3567</v>
      </c>
      <c r="F342" s="1"/>
    </row>
    <row r="343" spans="1:6" x14ac:dyDescent="0.2">
      <c r="A343" s="1"/>
      <c r="B343" s="4">
        <v>38338</v>
      </c>
      <c r="C343" s="5">
        <v>196.11</v>
      </c>
      <c r="D343" s="6">
        <v>1.4178999999999999</v>
      </c>
      <c r="E343" s="6">
        <v>1.2419</v>
      </c>
      <c r="F343" s="1"/>
    </row>
    <row r="344" spans="1:6" x14ac:dyDescent="0.2">
      <c r="A344" s="1"/>
      <c r="B344" s="4">
        <v>38322</v>
      </c>
      <c r="C344" s="5">
        <v>202.78</v>
      </c>
      <c r="D344" s="6">
        <v>1.6422000000000001</v>
      </c>
      <c r="E344" s="6">
        <v>1.5305</v>
      </c>
      <c r="F344" s="1"/>
    </row>
    <row r="345" spans="1:6" x14ac:dyDescent="0.2">
      <c r="A345" s="1"/>
      <c r="B345" s="4">
        <v>38308</v>
      </c>
      <c r="C345" s="5">
        <v>205</v>
      </c>
      <c r="D345" s="6">
        <v>1.6209</v>
      </c>
      <c r="E345" s="6">
        <v>1.5184</v>
      </c>
      <c r="F345" s="1"/>
    </row>
    <row r="346" spans="1:6" x14ac:dyDescent="0.2">
      <c r="A346" s="1"/>
      <c r="B346" s="4">
        <v>38292</v>
      </c>
      <c r="C346" s="5">
        <v>220.83</v>
      </c>
      <c r="D346" s="6">
        <v>1.6782999999999999</v>
      </c>
      <c r="E346" s="6">
        <v>1.5569</v>
      </c>
      <c r="F346" s="1"/>
    </row>
    <row r="347" spans="1:6" x14ac:dyDescent="0.2">
      <c r="A347" s="1"/>
      <c r="B347" s="4">
        <v>38277</v>
      </c>
      <c r="C347" s="5">
        <v>218.64</v>
      </c>
      <c r="D347" s="6">
        <v>1.8070999999999999</v>
      </c>
      <c r="E347" s="6">
        <v>1.637</v>
      </c>
      <c r="F347" s="1"/>
    </row>
    <row r="348" spans="1:6" x14ac:dyDescent="0.2">
      <c r="A348" s="1"/>
      <c r="B348" s="4">
        <v>38261</v>
      </c>
      <c r="C348" s="5">
        <v>219.89</v>
      </c>
      <c r="D348" s="6">
        <v>1.6418999999999999</v>
      </c>
      <c r="E348" s="6">
        <v>1.5634999999999999</v>
      </c>
      <c r="F348" s="1"/>
    </row>
    <row r="349" spans="1:6" x14ac:dyDescent="0.2">
      <c r="A349" s="1"/>
      <c r="B349" s="4">
        <v>38247</v>
      </c>
      <c r="C349" s="5">
        <v>218.33</v>
      </c>
      <c r="D349" s="6">
        <v>1.4511000000000001</v>
      </c>
      <c r="E349" s="6">
        <v>1.4138999999999999</v>
      </c>
      <c r="F349" s="1"/>
    </row>
    <row r="350" spans="1:6" x14ac:dyDescent="0.2">
      <c r="A350" s="1"/>
      <c r="B350" s="4">
        <v>38231</v>
      </c>
      <c r="C350" s="5">
        <v>220.63</v>
      </c>
      <c r="D350" s="6">
        <v>1.4108000000000001</v>
      </c>
      <c r="E350" s="6">
        <v>1.407</v>
      </c>
      <c r="F350" s="1"/>
    </row>
    <row r="351" spans="1:6" x14ac:dyDescent="0.2">
      <c r="A351" s="1"/>
      <c r="B351" s="4">
        <v>38216</v>
      </c>
      <c r="C351" s="5">
        <v>213.13</v>
      </c>
      <c r="D351" s="6">
        <v>1.3817999999999999</v>
      </c>
      <c r="E351" s="6">
        <v>1.4322999999999999</v>
      </c>
      <c r="F351" s="1"/>
    </row>
    <row r="352" spans="1:6" x14ac:dyDescent="0.2">
      <c r="A352" s="1"/>
      <c r="B352" s="4">
        <v>38200</v>
      </c>
      <c r="C352" s="5">
        <v>210.63</v>
      </c>
      <c r="D352" s="6">
        <v>1.3180000000000001</v>
      </c>
      <c r="E352" s="6">
        <v>1.4530000000000001</v>
      </c>
      <c r="F352" s="1"/>
    </row>
    <row r="353" spans="1:6" x14ac:dyDescent="0.2">
      <c r="A353" s="1"/>
      <c r="B353" s="4">
        <v>38185</v>
      </c>
      <c r="C353" s="5">
        <v>212.5</v>
      </c>
      <c r="D353" s="6">
        <v>1.3090999999999999</v>
      </c>
      <c r="E353" s="6">
        <v>1.4799</v>
      </c>
      <c r="F353" s="1"/>
    </row>
    <row r="354" spans="1:6" x14ac:dyDescent="0.2">
      <c r="A354" s="1"/>
      <c r="B354" s="4">
        <v>38169</v>
      </c>
      <c r="C354" s="5">
        <v>212.5</v>
      </c>
      <c r="D354" s="6">
        <v>1.2430000000000001</v>
      </c>
      <c r="E354" s="6">
        <v>1.4153</v>
      </c>
      <c r="F354" s="1"/>
    </row>
    <row r="355" spans="1:6" x14ac:dyDescent="0.2">
      <c r="A355" s="1"/>
      <c r="B355" s="4">
        <v>38155</v>
      </c>
      <c r="C355" s="5">
        <v>212.5</v>
      </c>
      <c r="D355" s="6">
        <v>1.2133</v>
      </c>
      <c r="E355" s="6">
        <v>1.421</v>
      </c>
      <c r="F355" s="1"/>
    </row>
    <row r="356" spans="1:6" x14ac:dyDescent="0.2">
      <c r="A356" s="1"/>
      <c r="B356" s="4">
        <v>38139</v>
      </c>
      <c r="C356" s="5">
        <v>212.5</v>
      </c>
      <c r="D356" s="6">
        <v>1.2546999999999999</v>
      </c>
      <c r="E356" s="6">
        <v>1.5584</v>
      </c>
      <c r="F356" s="1"/>
    </row>
    <row r="357" spans="1:6" x14ac:dyDescent="0.2">
      <c r="A357" s="1"/>
      <c r="B357" s="4">
        <v>38124</v>
      </c>
      <c r="C357" s="5">
        <v>182.5</v>
      </c>
      <c r="D357" s="6">
        <v>1.2602</v>
      </c>
      <c r="E357" s="6">
        <v>1.5254000000000001</v>
      </c>
      <c r="F357" s="1"/>
    </row>
    <row r="358" spans="1:6" x14ac:dyDescent="0.2">
      <c r="A358" s="1"/>
      <c r="B358" s="4">
        <v>38108</v>
      </c>
      <c r="C358" s="5">
        <v>175.63</v>
      </c>
      <c r="D358" s="6">
        <v>1.1932</v>
      </c>
      <c r="E358" s="6">
        <v>1.357</v>
      </c>
      <c r="F358" s="1"/>
    </row>
    <row r="359" spans="1:6" x14ac:dyDescent="0.2">
      <c r="A359" s="1"/>
      <c r="B359" s="4">
        <v>38094</v>
      </c>
      <c r="C359" s="5">
        <v>170.63</v>
      </c>
      <c r="D359" s="6">
        <v>1.3447</v>
      </c>
      <c r="E359" s="6">
        <v>1.3734</v>
      </c>
      <c r="F359" s="1"/>
    </row>
    <row r="360" spans="1:6" x14ac:dyDescent="0.2">
      <c r="A360" s="1"/>
      <c r="B360" s="4">
        <v>38078</v>
      </c>
      <c r="C360" s="5">
        <v>168.75</v>
      </c>
      <c r="D360" s="6">
        <v>1.2262999999999999</v>
      </c>
      <c r="E360" s="6">
        <v>1.3592</v>
      </c>
      <c r="F360" s="1"/>
    </row>
    <row r="361" spans="1:6" x14ac:dyDescent="0.2">
      <c r="A361" s="1"/>
      <c r="B361" s="4">
        <v>38063</v>
      </c>
      <c r="C361" s="5">
        <v>166.88</v>
      </c>
      <c r="D361" s="6">
        <v>1.2444999999999999</v>
      </c>
      <c r="E361" s="6">
        <v>1.1543000000000001</v>
      </c>
      <c r="F361" s="1"/>
    </row>
    <row r="362" spans="1:6" x14ac:dyDescent="0.2">
      <c r="A362" s="1"/>
      <c r="B362" s="4">
        <v>38047</v>
      </c>
      <c r="C362" s="5">
        <v>166.25</v>
      </c>
      <c r="D362" s="6">
        <v>1.1892</v>
      </c>
      <c r="E362" s="6">
        <v>1.2746</v>
      </c>
      <c r="F362" s="1"/>
    </row>
    <row r="363" spans="1:6" x14ac:dyDescent="0.2">
      <c r="A363" s="1"/>
      <c r="B363" s="4">
        <v>38018</v>
      </c>
      <c r="C363" s="5">
        <v>160</v>
      </c>
      <c r="D363" s="6">
        <v>1.2373000000000001</v>
      </c>
      <c r="E363" s="6">
        <v>1.2415</v>
      </c>
      <c r="F363" s="1"/>
    </row>
    <row r="364" spans="1:6" x14ac:dyDescent="0.2">
      <c r="A364" s="1"/>
      <c r="B364" s="4">
        <v>37987</v>
      </c>
      <c r="C364" s="5">
        <v>156.88</v>
      </c>
      <c r="D364" s="6">
        <v>1.0833999999999999</v>
      </c>
      <c r="E364" s="6">
        <v>1.1034999999999999</v>
      </c>
      <c r="F364" s="1"/>
    </row>
    <row r="365" spans="1:6" x14ac:dyDescent="0.2">
      <c r="A365" s="1"/>
      <c r="B365" s="4">
        <v>37956</v>
      </c>
      <c r="C365" s="5">
        <v>157.81</v>
      </c>
      <c r="D365" s="6">
        <v>1.0579000000000001</v>
      </c>
      <c r="E365" s="6">
        <v>1.1001000000000001</v>
      </c>
      <c r="F365" s="1"/>
    </row>
    <row r="366" spans="1:6" x14ac:dyDescent="0.2">
      <c r="A366" s="1"/>
      <c r="B366" s="4">
        <v>37926</v>
      </c>
      <c r="C366" s="5">
        <v>158.75</v>
      </c>
      <c r="D366" s="6">
        <v>1.0885</v>
      </c>
      <c r="E366" s="6">
        <v>1.0331999999999999</v>
      </c>
      <c r="F366" s="1"/>
    </row>
    <row r="367" spans="1:6" x14ac:dyDescent="0.2">
      <c r="A367" s="1"/>
      <c r="B367" s="4">
        <v>37895</v>
      </c>
      <c r="C367" s="5">
        <v>168.75</v>
      </c>
      <c r="D367" s="6">
        <v>0.96789999999999998</v>
      </c>
      <c r="E367" s="6">
        <v>0.99029999999999996</v>
      </c>
      <c r="F367" s="1"/>
    </row>
    <row r="368" spans="1:6" x14ac:dyDescent="0.2">
      <c r="A368" s="1"/>
      <c r="B368" s="4">
        <v>37865</v>
      </c>
      <c r="C368" s="5">
        <v>176.53</v>
      </c>
      <c r="D368" s="6">
        <v>1.0311999999999999</v>
      </c>
      <c r="E368" s="6">
        <v>1.2558</v>
      </c>
      <c r="F368" s="1"/>
    </row>
    <row r="369" spans="1:6" x14ac:dyDescent="0.2">
      <c r="A369" s="1"/>
      <c r="B369" s="4">
        <v>37834</v>
      </c>
      <c r="C369" s="5">
        <v>177.5</v>
      </c>
      <c r="D369" s="6">
        <v>0.98629999999999995</v>
      </c>
      <c r="E369" s="6">
        <v>1.0985</v>
      </c>
      <c r="F369" s="1"/>
    </row>
    <row r="370" spans="1:6" x14ac:dyDescent="0.2">
      <c r="A370" s="1"/>
      <c r="B370" s="4">
        <v>37803</v>
      </c>
      <c r="C370" s="5">
        <v>177.5</v>
      </c>
      <c r="D370" s="6">
        <v>0.96640000000000004</v>
      </c>
      <c r="E370" s="6">
        <v>1.0238</v>
      </c>
      <c r="F370" s="1"/>
    </row>
    <row r="371" spans="1:6" x14ac:dyDescent="0.2">
      <c r="A371" s="1"/>
      <c r="B371" s="4">
        <v>37773</v>
      </c>
      <c r="C371" s="5">
        <v>188.5</v>
      </c>
      <c r="D371" s="6">
        <v>0.98850000000000005</v>
      </c>
      <c r="E371" s="6">
        <v>1.0193000000000001</v>
      </c>
      <c r="F371" s="1"/>
    </row>
    <row r="372" spans="1:6" x14ac:dyDescent="0.2">
      <c r="A372" s="1"/>
      <c r="B372" s="4">
        <v>37742</v>
      </c>
      <c r="C372" s="5">
        <v>202.5</v>
      </c>
      <c r="D372" s="6">
        <v>1.0172000000000001</v>
      </c>
      <c r="E372" s="6">
        <v>1.0649</v>
      </c>
      <c r="F372" s="1"/>
    </row>
    <row r="373" spans="1:6" x14ac:dyDescent="0.2">
      <c r="A373" s="1"/>
      <c r="B373" s="4">
        <v>37712</v>
      </c>
      <c r="C373" s="5">
        <v>207.5</v>
      </c>
      <c r="D373" s="6">
        <v>1.1281000000000001</v>
      </c>
      <c r="E373" s="6">
        <v>1.1596</v>
      </c>
      <c r="F373" s="1"/>
    </row>
    <row r="374" spans="1:6" x14ac:dyDescent="0.2">
      <c r="A374" s="1"/>
      <c r="B374" s="4">
        <v>37681</v>
      </c>
      <c r="C374" s="5">
        <v>209.38</v>
      </c>
      <c r="D374" s="6">
        <v>1.3384</v>
      </c>
      <c r="E374" s="6">
        <v>1.2024999999999999</v>
      </c>
      <c r="F374" s="1"/>
    </row>
    <row r="375" spans="1:6" x14ac:dyDescent="0.2">
      <c r="A375" s="1"/>
      <c r="B375" s="4">
        <v>37653</v>
      </c>
      <c r="C375" s="5">
        <v>207.78</v>
      </c>
      <c r="D375" s="6">
        <v>1.1194999999999999</v>
      </c>
      <c r="E375" s="6">
        <v>1.0989</v>
      </c>
      <c r="F375" s="1"/>
    </row>
    <row r="376" spans="1:6" x14ac:dyDescent="0.2">
      <c r="A376" s="1"/>
      <c r="B376" s="4">
        <v>37622</v>
      </c>
      <c r="C376" s="5">
        <v>165.63</v>
      </c>
      <c r="D376" s="6">
        <v>1.125</v>
      </c>
      <c r="E376" s="6">
        <v>1.0993999999999999</v>
      </c>
      <c r="F376" s="1"/>
    </row>
    <row r="377" spans="1:6" x14ac:dyDescent="0.2">
      <c r="A377" s="1"/>
      <c r="B377" s="4">
        <v>37591</v>
      </c>
      <c r="C377" s="5">
        <v>165</v>
      </c>
      <c r="D377" s="6">
        <v>0.9677</v>
      </c>
      <c r="E377" s="6">
        <v>0.90200000000000002</v>
      </c>
      <c r="F377" s="1"/>
    </row>
    <row r="378" spans="1:6" x14ac:dyDescent="0.2">
      <c r="A378" s="1"/>
      <c r="B378" s="4">
        <v>37561</v>
      </c>
      <c r="C378" s="5">
        <v>170</v>
      </c>
      <c r="D378" s="6">
        <v>1.0632999999999999</v>
      </c>
      <c r="E378" s="6">
        <v>1.0172000000000001</v>
      </c>
      <c r="F378" s="1"/>
    </row>
    <row r="379" spans="1:6" x14ac:dyDescent="0.2">
      <c r="A379" s="1"/>
      <c r="B379" s="4">
        <v>37530</v>
      </c>
      <c r="C379" s="5">
        <v>180</v>
      </c>
      <c r="D379" s="6">
        <v>1.0306</v>
      </c>
      <c r="E379" s="6">
        <v>0.99829999999999997</v>
      </c>
      <c r="F379" s="1"/>
    </row>
    <row r="380" spans="1:6" x14ac:dyDescent="0.2">
      <c r="A380" s="1"/>
      <c r="B380" s="4">
        <v>37500</v>
      </c>
      <c r="C380" s="5">
        <v>178.57</v>
      </c>
      <c r="D380" s="6">
        <v>0.99229999999999996</v>
      </c>
      <c r="E380" s="6">
        <v>0.99109999999999998</v>
      </c>
      <c r="F380" s="1"/>
    </row>
    <row r="381" spans="1:6" x14ac:dyDescent="0.2">
      <c r="A381" s="1"/>
      <c r="B381" s="4">
        <v>37469</v>
      </c>
      <c r="C381" s="5">
        <v>183.57</v>
      </c>
      <c r="D381" s="6">
        <v>0.88919999999999999</v>
      </c>
      <c r="E381" s="6">
        <v>0.97289999999999999</v>
      </c>
      <c r="F381" s="1"/>
    </row>
    <row r="382" spans="1:6" x14ac:dyDescent="0.2">
      <c r="A382" s="1"/>
      <c r="B382" s="4">
        <v>37438</v>
      </c>
      <c r="C382" s="5">
        <v>184.29</v>
      </c>
      <c r="D382" s="6">
        <v>0.86570000000000003</v>
      </c>
      <c r="E382" s="6">
        <v>0.95879999999999999</v>
      </c>
      <c r="F382" s="1"/>
    </row>
    <row r="383" spans="1:6" x14ac:dyDescent="0.2">
      <c r="A383" s="1"/>
      <c r="B383" s="4">
        <v>37408</v>
      </c>
      <c r="C383" s="5">
        <v>178</v>
      </c>
      <c r="D383" s="6">
        <v>0.89049999999999996</v>
      </c>
      <c r="E383" s="6">
        <v>0.98480000000000001</v>
      </c>
      <c r="F383" s="1"/>
    </row>
    <row r="384" spans="1:6" x14ac:dyDescent="0.2">
      <c r="A384" s="1"/>
      <c r="B384" s="4">
        <v>37377</v>
      </c>
      <c r="C384" s="5">
        <v>171.43</v>
      </c>
      <c r="D384" s="6">
        <v>0.89090000000000003</v>
      </c>
      <c r="E384" s="6">
        <v>0.96919999999999995</v>
      </c>
      <c r="F384" s="1"/>
    </row>
    <row r="385" spans="1:6" x14ac:dyDescent="0.2">
      <c r="A385" s="1"/>
      <c r="B385" s="4">
        <v>37347</v>
      </c>
      <c r="C385" s="5">
        <v>145.71</v>
      </c>
      <c r="D385" s="6">
        <v>0.88480000000000003</v>
      </c>
      <c r="E385" s="6">
        <v>0.96909999999999996</v>
      </c>
      <c r="F385" s="1"/>
    </row>
    <row r="386" spans="1:6" x14ac:dyDescent="0.2">
      <c r="A386" s="1"/>
      <c r="B386" s="4">
        <v>37316</v>
      </c>
      <c r="C386" s="5">
        <v>137.86000000000001</v>
      </c>
      <c r="D386" s="6">
        <v>0.74709999999999999</v>
      </c>
      <c r="E386" s="6">
        <v>0.74080000000000001</v>
      </c>
      <c r="F386" s="1"/>
    </row>
    <row r="387" spans="1:6" x14ac:dyDescent="0.2">
      <c r="A387" s="1"/>
      <c r="B387" s="4">
        <v>37288</v>
      </c>
      <c r="C387" s="5">
        <v>130.71</v>
      </c>
      <c r="D387" s="6">
        <v>0.73360000000000003</v>
      </c>
      <c r="E387" s="6">
        <v>0.73860000000000003</v>
      </c>
      <c r="F387" s="1"/>
    </row>
    <row r="388" spans="1:6" x14ac:dyDescent="0.2">
      <c r="A388" s="1"/>
      <c r="B388" s="4">
        <v>37257</v>
      </c>
      <c r="C388" s="5">
        <v>131.43</v>
      </c>
      <c r="D388" s="6">
        <v>0.79459999999999997</v>
      </c>
      <c r="E388" s="6">
        <v>0.78120000000000001</v>
      </c>
      <c r="F388" s="1"/>
    </row>
    <row r="389" spans="1:6" x14ac:dyDescent="0.2">
      <c r="A389" s="1"/>
      <c r="B389" s="4">
        <v>37226</v>
      </c>
      <c r="C389" s="5">
        <v>131.29</v>
      </c>
      <c r="D389" s="6">
        <v>0.73460000000000003</v>
      </c>
      <c r="E389" s="6">
        <v>0.70499999999999996</v>
      </c>
      <c r="F389" s="1"/>
    </row>
    <row r="390" spans="1:6" x14ac:dyDescent="0.2">
      <c r="A390" s="1"/>
      <c r="B390" s="4">
        <v>37196</v>
      </c>
      <c r="C390" s="5">
        <v>129.13999999999999</v>
      </c>
      <c r="D390" s="6">
        <v>0.85209999999999997</v>
      </c>
      <c r="E390" s="6">
        <v>0.78859999999999997</v>
      </c>
      <c r="F390" s="1"/>
    </row>
    <row r="391" spans="1:6" x14ac:dyDescent="0.2">
      <c r="A391" s="1"/>
      <c r="B391" s="4">
        <v>37165</v>
      </c>
      <c r="C391" s="5">
        <v>129.86000000000001</v>
      </c>
      <c r="D391" s="6">
        <v>0.92130000000000001</v>
      </c>
      <c r="E391" s="6">
        <v>0.97619999999999996</v>
      </c>
      <c r="F391" s="1"/>
    </row>
    <row r="392" spans="1:6" x14ac:dyDescent="0.2">
      <c r="A392" s="1"/>
      <c r="B392" s="4">
        <v>37135</v>
      </c>
      <c r="C392" s="5">
        <v>129.86000000000001</v>
      </c>
      <c r="D392" s="6">
        <v>0.9546</v>
      </c>
      <c r="E392" s="6">
        <v>0.99619999999999997</v>
      </c>
      <c r="F392" s="1"/>
    </row>
    <row r="393" spans="1:6" x14ac:dyDescent="0.2">
      <c r="A393" s="1"/>
      <c r="B393" s="4">
        <v>37104</v>
      </c>
      <c r="C393" s="5">
        <v>130</v>
      </c>
      <c r="D393" s="6">
        <v>0.93169999999999997</v>
      </c>
      <c r="E393" s="6">
        <v>0.92530000000000001</v>
      </c>
      <c r="F393" s="1"/>
    </row>
    <row r="394" spans="1:6" x14ac:dyDescent="0.2">
      <c r="A394" s="1"/>
      <c r="B394" s="4">
        <v>37073</v>
      </c>
      <c r="C394" s="5">
        <v>128.57</v>
      </c>
      <c r="D394" s="6">
        <v>0.98299999999999998</v>
      </c>
      <c r="E394" s="6">
        <v>0.9456</v>
      </c>
      <c r="F394" s="1"/>
    </row>
    <row r="395" spans="1:6" x14ac:dyDescent="0.2">
      <c r="A395" s="1"/>
      <c r="B395" s="4">
        <v>37043</v>
      </c>
      <c r="C395" s="5">
        <v>130.57</v>
      </c>
      <c r="D395" s="6">
        <v>1.0730999999999999</v>
      </c>
      <c r="E395" s="6">
        <v>1.2225999999999999</v>
      </c>
      <c r="F395" s="1"/>
    </row>
    <row r="396" spans="1:6" x14ac:dyDescent="0.2">
      <c r="A396" s="1"/>
      <c r="B396" s="4">
        <v>37012</v>
      </c>
      <c r="C396" s="5">
        <v>147.71</v>
      </c>
      <c r="D396" s="6">
        <v>0.98060000000000003</v>
      </c>
      <c r="E396" s="6">
        <v>1.1803999999999999</v>
      </c>
      <c r="F396" s="1"/>
    </row>
    <row r="397" spans="1:6" ht="13.5" customHeight="1" x14ac:dyDescent="0.2">
      <c r="A397" s="1"/>
      <c r="B397" s="4">
        <v>36982</v>
      </c>
      <c r="C397" s="5">
        <v>148.57</v>
      </c>
      <c r="D397" s="6">
        <v>0.92630000000000001</v>
      </c>
      <c r="E397" s="6">
        <v>1.0105999999999999</v>
      </c>
      <c r="F397" s="1"/>
    </row>
    <row r="398" spans="1:6" ht="13.5" customHeight="1" x14ac:dyDescent="0.2">
      <c r="A398" s="1"/>
      <c r="B398" s="4">
        <v>36951</v>
      </c>
      <c r="C398" s="5">
        <v>155.71</v>
      </c>
      <c r="D398" s="6">
        <v>1.0082</v>
      </c>
      <c r="E398" s="6">
        <v>1.0038</v>
      </c>
      <c r="F398" s="1"/>
    </row>
    <row r="399" spans="1:6" ht="13.5" customHeight="1" x14ac:dyDescent="0.2">
      <c r="A399" s="1"/>
      <c r="B399" s="4">
        <v>36923</v>
      </c>
      <c r="C399" s="5">
        <v>223</v>
      </c>
      <c r="D399" s="6">
        <v>1.2007000000000001</v>
      </c>
      <c r="E399" s="6">
        <v>1.0966</v>
      </c>
      <c r="F399" s="1"/>
    </row>
    <row r="400" spans="1:6" ht="13.5" customHeight="1" x14ac:dyDescent="0.2">
      <c r="A400" s="1"/>
      <c r="B400" s="4">
        <v>36892</v>
      </c>
      <c r="C400" s="5">
        <v>163</v>
      </c>
      <c r="D400" s="6">
        <v>1.0121</v>
      </c>
      <c r="E400" s="6">
        <v>0.92069999999999996</v>
      </c>
      <c r="F400" s="1"/>
    </row>
    <row r="401" spans="1:6" ht="13.5" customHeight="1" x14ac:dyDescent="0.2">
      <c r="A401" s="1"/>
      <c r="B401" s="4">
        <v>36861</v>
      </c>
      <c r="C401" s="5">
        <v>163.71</v>
      </c>
      <c r="D401" s="6">
        <v>1.284</v>
      </c>
      <c r="E401" s="6">
        <v>1.1243000000000001</v>
      </c>
      <c r="F401" s="1"/>
    </row>
    <row r="402" spans="1:6" ht="13.5" customHeight="1" x14ac:dyDescent="0.2">
      <c r="A402" s="1"/>
      <c r="B402" s="4">
        <v>36831</v>
      </c>
      <c r="C402" s="5">
        <v>166.43</v>
      </c>
      <c r="D402" s="6">
        <v>1.2009000000000001</v>
      </c>
      <c r="E402" s="6">
        <v>1.1479999999999999</v>
      </c>
      <c r="F402" s="1"/>
    </row>
    <row r="403" spans="1:6" ht="13.5" customHeight="1" x14ac:dyDescent="0.2">
      <c r="A403" s="1"/>
      <c r="B403" s="4">
        <v>36800</v>
      </c>
      <c r="C403" s="5">
        <v>167.85</v>
      </c>
      <c r="D403" s="6">
        <v>1.2439</v>
      </c>
      <c r="E403" s="6">
        <v>1.1506000000000001</v>
      </c>
      <c r="F403" s="1"/>
    </row>
    <row r="404" spans="1:6" x14ac:dyDescent="0.2">
      <c r="A404" s="1"/>
      <c r="B404" s="4">
        <v>36770</v>
      </c>
      <c r="C404" s="5">
        <v>168.57</v>
      </c>
      <c r="D404" s="6">
        <v>1.1893</v>
      </c>
      <c r="E404" s="6">
        <v>1.0841000000000001</v>
      </c>
      <c r="F404" s="1"/>
    </row>
    <row r="405" spans="1:6" x14ac:dyDescent="0.2">
      <c r="A405" s="1"/>
      <c r="B405" s="4">
        <v>36739</v>
      </c>
      <c r="C405" s="5">
        <v>173.57</v>
      </c>
      <c r="D405" s="6">
        <v>0.99560000000000004</v>
      </c>
      <c r="E405" s="6">
        <v>0.97489999999999999</v>
      </c>
      <c r="F405" s="1"/>
    </row>
    <row r="406" spans="1:6" x14ac:dyDescent="0.2">
      <c r="A406" s="62"/>
      <c r="B406" s="4">
        <v>36708</v>
      </c>
      <c r="C406" s="5">
        <v>171</v>
      </c>
      <c r="D406" s="6">
        <v>1.0096000000000001</v>
      </c>
      <c r="E406" s="6">
        <v>1.2042999999999999</v>
      </c>
      <c r="F406" s="62"/>
    </row>
    <row r="407" spans="1:6" x14ac:dyDescent="0.2">
      <c r="B407" s="61"/>
      <c r="C407" s="61"/>
      <c r="D407" s="61"/>
      <c r="E407" s="61"/>
    </row>
    <row r="408" spans="1:6" x14ac:dyDescent="0.2">
      <c r="D408" s="72"/>
    </row>
  </sheetData>
  <sheetProtection algorithmName="SHA-512" hashValue="AIh0Y8N994kvk+2Z33pgVPxeGDb/2P/JRxs8esMjWR54L0dE3/ADw/ala9vbUG+HA4c8ryiUL9hmpMTtHHu+Qw==" saltValue="GYs75doHBSp9RzYTbWTuEg==" spinCount="100000" sheet="1" objects="1" scenarios="1"/>
  <sortState ref="B23:E344">
    <sortCondition descending="1" ref="B23:B344"/>
  </sortState>
  <mergeCells count="1">
    <mergeCell ref="B2:E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10"/>
  <sheetViews>
    <sheetView workbookViewId="0">
      <selection activeCell="G36" sqref="G36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9" x14ac:dyDescent="0.2">
      <c r="A1" s="9"/>
      <c r="B1" s="10"/>
      <c r="C1" s="10"/>
      <c r="D1" s="10"/>
      <c r="E1" s="10"/>
      <c r="F1" s="10"/>
      <c r="G1" s="10"/>
      <c r="H1" s="9"/>
      <c r="I1" s="9"/>
    </row>
    <row r="2" spans="1:9" ht="13.5" thickBot="1" x14ac:dyDescent="0.25">
      <c r="A2" s="9"/>
      <c r="B2" s="10"/>
      <c r="C2" s="10"/>
      <c r="D2" s="10"/>
      <c r="E2" s="10"/>
      <c r="F2" s="10"/>
      <c r="G2" s="10"/>
      <c r="H2" s="9"/>
      <c r="I2" s="9"/>
    </row>
    <row r="3" spans="1:9" ht="15.75" x14ac:dyDescent="0.25">
      <c r="A3" s="9"/>
      <c r="B3" s="174" t="s">
        <v>49</v>
      </c>
      <c r="C3" s="175"/>
      <c r="D3" s="175"/>
      <c r="E3" s="175"/>
      <c r="F3" s="175"/>
      <c r="G3" s="176"/>
      <c r="H3" s="9"/>
      <c r="I3" s="9"/>
    </row>
    <row r="4" spans="1:9" x14ac:dyDescent="0.2">
      <c r="A4" s="9"/>
      <c r="B4" s="11"/>
      <c r="C4" s="12"/>
      <c r="D4" s="12"/>
      <c r="E4" s="12"/>
      <c r="F4" s="12"/>
      <c r="G4" s="13"/>
      <c r="H4" s="9"/>
      <c r="I4" s="9"/>
    </row>
    <row r="5" spans="1:9" x14ac:dyDescent="0.2">
      <c r="A5" s="9"/>
      <c r="B5" s="11"/>
      <c r="C5" s="177" t="s">
        <v>50</v>
      </c>
      <c r="D5" s="178"/>
      <c r="E5" s="14">
        <f>DieselBase</f>
        <v>2.5889000000000002</v>
      </c>
      <c r="F5" s="12"/>
      <c r="G5" s="13"/>
      <c r="H5" s="9"/>
      <c r="I5" s="9"/>
    </row>
    <row r="6" spans="1:9" x14ac:dyDescent="0.2">
      <c r="A6" s="9"/>
      <c r="B6" s="11"/>
      <c r="C6" s="181" t="s">
        <v>51</v>
      </c>
      <c r="D6" s="182"/>
      <c r="E6" s="15">
        <f>DieselCurrent</f>
        <v>2.5889000000000002</v>
      </c>
      <c r="F6" s="12"/>
      <c r="G6" s="13"/>
      <c r="H6" s="9"/>
      <c r="I6" s="9"/>
    </row>
    <row r="7" spans="1:9" x14ac:dyDescent="0.2">
      <c r="A7" s="9"/>
      <c r="B7" s="11"/>
      <c r="C7" s="179" t="s">
        <v>52</v>
      </c>
      <c r="D7" s="180"/>
      <c r="E7" s="16">
        <f>VLOOKUP(E6,E12:G51,3)</f>
        <v>0</v>
      </c>
      <c r="F7" s="12"/>
      <c r="G7" s="13"/>
      <c r="H7" s="9"/>
      <c r="I7" s="9"/>
    </row>
    <row r="8" spans="1:9" x14ac:dyDescent="0.2">
      <c r="A8" s="9"/>
      <c r="B8" s="11"/>
      <c r="C8" s="12"/>
      <c r="D8" s="12"/>
      <c r="E8" s="12"/>
      <c r="F8" s="12"/>
      <c r="G8" s="13"/>
      <c r="H8" s="9"/>
      <c r="I8" s="9"/>
    </row>
    <row r="9" spans="1:9" x14ac:dyDescent="0.2">
      <c r="A9" s="9"/>
      <c r="B9" s="11"/>
      <c r="C9" s="12"/>
      <c r="D9" s="12"/>
      <c r="E9" s="12"/>
      <c r="F9" s="12"/>
      <c r="G9" s="13"/>
      <c r="H9" s="9"/>
      <c r="I9" s="9"/>
    </row>
    <row r="10" spans="1:9" x14ac:dyDescent="0.2">
      <c r="A10" s="9"/>
      <c r="B10" s="11"/>
      <c r="C10" s="12"/>
      <c r="D10" s="12"/>
      <c r="E10" s="12"/>
      <c r="F10" s="12"/>
      <c r="G10" s="13"/>
      <c r="H10" s="9"/>
      <c r="I10" s="9"/>
    </row>
    <row r="11" spans="1:9" ht="13.5" thickBot="1" x14ac:dyDescent="0.25">
      <c r="A11" s="9"/>
      <c r="B11" s="11"/>
      <c r="C11" s="12"/>
      <c r="D11" s="12"/>
      <c r="E11" s="12"/>
      <c r="F11" s="12"/>
      <c r="G11" s="13"/>
      <c r="H11" s="9"/>
      <c r="I11" s="9"/>
    </row>
    <row r="12" spans="1:9" x14ac:dyDescent="0.2">
      <c r="A12" s="9"/>
      <c r="B12" s="167" t="s">
        <v>53</v>
      </c>
      <c r="C12" s="49">
        <v>90</v>
      </c>
      <c r="D12" s="17">
        <v>100</v>
      </c>
      <c r="E12" s="38">
        <f>0*DieselBase</f>
        <v>0</v>
      </c>
      <c r="F12" s="18">
        <f>0.1*DieselBase-0.0001</f>
        <v>0.25879000000000002</v>
      </c>
      <c r="G12" s="19">
        <f>-0.9*DieselBase</f>
        <v>-2.3300100000000001</v>
      </c>
      <c r="H12" s="9"/>
      <c r="I12" s="9"/>
    </row>
    <row r="13" spans="1:9" x14ac:dyDescent="0.2">
      <c r="A13" s="9"/>
      <c r="B13" s="168"/>
      <c r="C13" s="50">
        <v>80</v>
      </c>
      <c r="D13" s="20">
        <v>90</v>
      </c>
      <c r="E13" s="40">
        <f>0.1*DieselBase</f>
        <v>0.25889000000000001</v>
      </c>
      <c r="F13" s="21">
        <f>0.2*DieselBase-0.0001</f>
        <v>0.51768000000000003</v>
      </c>
      <c r="G13" s="22">
        <f>-0.8*DieselBase</f>
        <v>-2.0711200000000001</v>
      </c>
      <c r="H13" s="9"/>
      <c r="I13" s="9"/>
    </row>
    <row r="14" spans="1:9" x14ac:dyDescent="0.2">
      <c r="A14" s="9"/>
      <c r="B14" s="168"/>
      <c r="C14" s="50">
        <v>70</v>
      </c>
      <c r="D14" s="20">
        <v>80</v>
      </c>
      <c r="E14" s="40">
        <f>0.2*DieselBase</f>
        <v>0.51778000000000002</v>
      </c>
      <c r="F14" s="21">
        <f>0.3*DieselBase-0.0001</f>
        <v>0.77657000000000009</v>
      </c>
      <c r="G14" s="22">
        <f>-0.7*DieselBase</f>
        <v>-1.81223</v>
      </c>
      <c r="H14" s="9"/>
      <c r="I14" s="9"/>
    </row>
    <row r="15" spans="1:9" x14ac:dyDescent="0.2">
      <c r="A15" s="9"/>
      <c r="B15" s="168"/>
      <c r="C15" s="50">
        <v>60</v>
      </c>
      <c r="D15" s="20">
        <v>70</v>
      </c>
      <c r="E15" s="40">
        <f>0.3*DieselBase</f>
        <v>0.77667000000000008</v>
      </c>
      <c r="F15" s="21">
        <f>0.4*DieselBase-0.0001</f>
        <v>1.03546</v>
      </c>
      <c r="G15" s="22">
        <f>-0.6*DieselBase</f>
        <v>-1.5533400000000002</v>
      </c>
      <c r="H15" s="9"/>
      <c r="I15" s="9"/>
    </row>
    <row r="16" spans="1:9" x14ac:dyDescent="0.2">
      <c r="A16" s="9"/>
      <c r="B16" s="168"/>
      <c r="C16" s="50">
        <v>50</v>
      </c>
      <c r="D16" s="20">
        <v>60</v>
      </c>
      <c r="E16" s="40">
        <f>0.4*DieselBase</f>
        <v>1.03556</v>
      </c>
      <c r="F16" s="21">
        <f>0.5*DieselBase-0.0001</f>
        <v>1.2943500000000001</v>
      </c>
      <c r="G16" s="22">
        <f>-0.5*DieselBase</f>
        <v>-1.2944500000000001</v>
      </c>
      <c r="H16" s="9"/>
      <c r="I16" s="9"/>
    </row>
    <row r="17" spans="1:9" x14ac:dyDescent="0.2">
      <c r="A17" s="9"/>
      <c r="B17" s="168"/>
      <c r="C17" s="50">
        <v>40</v>
      </c>
      <c r="D17" s="20">
        <v>50</v>
      </c>
      <c r="E17" s="40">
        <f>0.5*DieselBase</f>
        <v>1.2944500000000001</v>
      </c>
      <c r="F17" s="21">
        <f>0.6*DieselBase-0.0001</f>
        <v>1.5532400000000002</v>
      </c>
      <c r="G17" s="22">
        <f>-0.4*DieselBase</f>
        <v>-1.03556</v>
      </c>
      <c r="H17" s="9"/>
      <c r="I17" s="9"/>
    </row>
    <row r="18" spans="1:9" x14ac:dyDescent="0.2">
      <c r="A18" s="9"/>
      <c r="B18" s="168"/>
      <c r="C18" s="50">
        <v>30</v>
      </c>
      <c r="D18" s="20">
        <v>40</v>
      </c>
      <c r="E18" s="40">
        <f>0.6*DieselBase</f>
        <v>1.5533400000000002</v>
      </c>
      <c r="F18" s="21">
        <f>0.7*DieselBase-0.0001</f>
        <v>1.81213</v>
      </c>
      <c r="G18" s="22">
        <f>-0.3*DieselBase</f>
        <v>-0.77667000000000008</v>
      </c>
      <c r="H18" s="9"/>
      <c r="I18" s="9"/>
    </row>
    <row r="19" spans="1:9" x14ac:dyDescent="0.2">
      <c r="A19" s="9"/>
      <c r="B19" s="168"/>
      <c r="C19" s="50">
        <v>20</v>
      </c>
      <c r="D19" s="20">
        <v>30</v>
      </c>
      <c r="E19" s="40">
        <f>0.7*DieselBase</f>
        <v>1.81223</v>
      </c>
      <c r="F19" s="21">
        <f>0.8*DieselBase-0.0001</f>
        <v>2.0710199999999999</v>
      </c>
      <c r="G19" s="22">
        <f>-0.2*DieselBase</f>
        <v>-0.51778000000000002</v>
      </c>
      <c r="H19" s="9"/>
      <c r="I19" s="9"/>
    </row>
    <row r="20" spans="1:9" x14ac:dyDescent="0.2">
      <c r="A20" s="9"/>
      <c r="B20" s="168"/>
      <c r="C20" s="50">
        <v>10</v>
      </c>
      <c r="D20" s="20">
        <v>20</v>
      </c>
      <c r="E20" s="40">
        <f>0.8*DieselBase</f>
        <v>2.0711200000000001</v>
      </c>
      <c r="F20" s="21">
        <f>0.9*DieselBase-0.0001</f>
        <v>2.3299099999999999</v>
      </c>
      <c r="G20" s="22">
        <f>-0.1*DieselBase</f>
        <v>-0.25889000000000001</v>
      </c>
      <c r="H20" s="9"/>
      <c r="I20" s="9"/>
    </row>
    <row r="21" spans="1:9" x14ac:dyDescent="0.2">
      <c r="A21" s="9"/>
      <c r="B21" s="172"/>
      <c r="C21" s="51">
        <v>0</v>
      </c>
      <c r="D21" s="41">
        <v>10</v>
      </c>
      <c r="E21" s="42">
        <f>0.9*DieselBase</f>
        <v>2.3300100000000001</v>
      </c>
      <c r="F21" s="43">
        <f>1*DieselBase-0.0001</f>
        <v>2.5888</v>
      </c>
      <c r="G21" s="44">
        <f>0*DieselBase</f>
        <v>0</v>
      </c>
      <c r="H21" s="9"/>
      <c r="I21" s="9"/>
    </row>
    <row r="22" spans="1:9" x14ac:dyDescent="0.2">
      <c r="A22" s="9"/>
      <c r="B22" s="173" t="s">
        <v>54</v>
      </c>
      <c r="C22" s="52">
        <v>0</v>
      </c>
      <c r="D22" s="45">
        <v>10</v>
      </c>
      <c r="E22" s="46">
        <f>1*DieselBase</f>
        <v>2.5889000000000002</v>
      </c>
      <c r="F22" s="47">
        <f>1.1*DieselBase</f>
        <v>2.8477900000000003</v>
      </c>
      <c r="G22" s="48">
        <f>0*DieselBase</f>
        <v>0</v>
      </c>
      <c r="H22" s="9"/>
      <c r="I22" s="9"/>
    </row>
    <row r="23" spans="1:9" x14ac:dyDescent="0.2">
      <c r="A23" s="9"/>
      <c r="B23" s="168"/>
      <c r="C23" s="50">
        <v>10</v>
      </c>
      <c r="D23" s="20">
        <v>20</v>
      </c>
      <c r="E23" s="39">
        <f>1.1*DieselBase+0.0001</f>
        <v>2.8478900000000005</v>
      </c>
      <c r="F23" s="21">
        <f>1.2*DieselBase</f>
        <v>3.1066800000000003</v>
      </c>
      <c r="G23" s="22">
        <f>0.1*DieselBase</f>
        <v>0.25889000000000001</v>
      </c>
      <c r="H23" s="9"/>
      <c r="I23" s="9"/>
    </row>
    <row r="24" spans="1:9" x14ac:dyDescent="0.2">
      <c r="A24" s="9"/>
      <c r="B24" s="168"/>
      <c r="C24" s="50">
        <v>20</v>
      </c>
      <c r="D24" s="20">
        <v>30</v>
      </c>
      <c r="E24" s="39">
        <f>1.2*DieselBase+0.0001</f>
        <v>3.1067800000000005</v>
      </c>
      <c r="F24" s="21">
        <f>1.3*DieselBase</f>
        <v>3.3655700000000004</v>
      </c>
      <c r="G24" s="22">
        <f>0.2*DieselBase</f>
        <v>0.51778000000000002</v>
      </c>
      <c r="H24" s="9"/>
      <c r="I24" s="9"/>
    </row>
    <row r="25" spans="1:9" x14ac:dyDescent="0.2">
      <c r="A25" s="9"/>
      <c r="B25" s="168"/>
      <c r="C25" s="50">
        <v>30</v>
      </c>
      <c r="D25" s="20">
        <v>40</v>
      </c>
      <c r="E25" s="39">
        <f>1.3*DieselBase+0.0001</f>
        <v>3.3656700000000006</v>
      </c>
      <c r="F25" s="21">
        <f>1.4*DieselBase</f>
        <v>3.62446</v>
      </c>
      <c r="G25" s="22">
        <f>0.3*DieselBase</f>
        <v>0.77667000000000008</v>
      </c>
      <c r="H25" s="9"/>
      <c r="I25" s="9"/>
    </row>
    <row r="26" spans="1:9" x14ac:dyDescent="0.2">
      <c r="A26" s="9"/>
      <c r="B26" s="168"/>
      <c r="C26" s="50">
        <v>40</v>
      </c>
      <c r="D26" s="20">
        <v>50</v>
      </c>
      <c r="E26" s="39">
        <f>1.4*DieselBase+0.0001</f>
        <v>3.6245600000000002</v>
      </c>
      <c r="F26" s="21">
        <f>1.5*DieselBase</f>
        <v>3.8833500000000001</v>
      </c>
      <c r="G26" s="22">
        <f>0.4*DieselBase</f>
        <v>1.03556</v>
      </c>
      <c r="H26" s="9"/>
      <c r="I26" s="9"/>
    </row>
    <row r="27" spans="1:9" x14ac:dyDescent="0.2">
      <c r="A27" s="9"/>
      <c r="B27" s="168"/>
      <c r="C27" s="50">
        <v>50</v>
      </c>
      <c r="D27" s="20">
        <v>60</v>
      </c>
      <c r="E27" s="39">
        <f>1.5*DieselBase+0.0001</f>
        <v>3.8834500000000003</v>
      </c>
      <c r="F27" s="21">
        <f>1.6*DieselBase</f>
        <v>4.1422400000000001</v>
      </c>
      <c r="G27" s="22">
        <f>0.5*DieselBase</f>
        <v>1.2944500000000001</v>
      </c>
      <c r="H27" s="9"/>
      <c r="I27" s="9"/>
    </row>
    <row r="28" spans="1:9" x14ac:dyDescent="0.2">
      <c r="A28" s="9"/>
      <c r="B28" s="168"/>
      <c r="C28" s="50">
        <v>60</v>
      </c>
      <c r="D28" s="20">
        <v>70</v>
      </c>
      <c r="E28" s="39">
        <f>1.6*DieselBase+0.0001</f>
        <v>4.1423399999999999</v>
      </c>
      <c r="F28" s="21">
        <f>1.7*DieselBase</f>
        <v>4.4011300000000002</v>
      </c>
      <c r="G28" s="22">
        <f>0.6*DieselBase</f>
        <v>1.5533400000000002</v>
      </c>
      <c r="H28" s="9"/>
      <c r="I28" s="9"/>
    </row>
    <row r="29" spans="1:9" x14ac:dyDescent="0.2">
      <c r="A29" s="9"/>
      <c r="B29" s="168"/>
      <c r="C29" s="50">
        <v>70</v>
      </c>
      <c r="D29" s="20">
        <v>80</v>
      </c>
      <c r="E29" s="39">
        <f>1.7*DieselBase+0.0001</f>
        <v>4.40123</v>
      </c>
      <c r="F29" s="21">
        <f>1.8*DieselBase</f>
        <v>4.6600200000000003</v>
      </c>
      <c r="G29" s="22">
        <f>0.7*DieselBase</f>
        <v>1.81223</v>
      </c>
      <c r="H29" s="9"/>
      <c r="I29" s="9"/>
    </row>
    <row r="30" spans="1:9" x14ac:dyDescent="0.2">
      <c r="A30" s="9"/>
      <c r="B30" s="168"/>
      <c r="C30" s="50">
        <v>80</v>
      </c>
      <c r="D30" s="20">
        <v>90</v>
      </c>
      <c r="E30" s="39">
        <f>1.8*DieselBase+0.0001</f>
        <v>4.66012</v>
      </c>
      <c r="F30" s="21">
        <f>1.9*DieselBase</f>
        <v>4.9189100000000003</v>
      </c>
      <c r="G30" s="22">
        <f>0.8*DieselBase</f>
        <v>2.0711200000000001</v>
      </c>
      <c r="H30" s="9"/>
      <c r="I30" s="9"/>
    </row>
    <row r="31" spans="1:9" x14ac:dyDescent="0.2">
      <c r="A31" s="9"/>
      <c r="B31" s="168"/>
      <c r="C31" s="50">
        <v>90</v>
      </c>
      <c r="D31" s="20">
        <v>100</v>
      </c>
      <c r="E31" s="39">
        <f>1.9*DieselBase+0.0001</f>
        <v>4.9190100000000001</v>
      </c>
      <c r="F31" s="21">
        <f>2*DieselBase</f>
        <v>5.1778000000000004</v>
      </c>
      <c r="G31" s="22">
        <f>0.9*DieselBase</f>
        <v>2.3300100000000001</v>
      </c>
      <c r="H31" s="9"/>
      <c r="I31" s="9"/>
    </row>
    <row r="32" spans="1:9" x14ac:dyDescent="0.2">
      <c r="A32" s="9"/>
      <c r="B32" s="168"/>
      <c r="C32" s="50">
        <v>100</v>
      </c>
      <c r="D32" s="20">
        <v>110</v>
      </c>
      <c r="E32" s="39">
        <f>2*DieselBase+0.0001</f>
        <v>5.1779000000000002</v>
      </c>
      <c r="F32" s="21">
        <f>2.1*DieselBase</f>
        <v>5.4366900000000005</v>
      </c>
      <c r="G32" s="22">
        <f>1*DieselBase</f>
        <v>2.5889000000000002</v>
      </c>
      <c r="H32" s="9"/>
      <c r="I32" s="9"/>
    </row>
    <row r="33" spans="1:9" x14ac:dyDescent="0.2">
      <c r="A33" s="9"/>
      <c r="B33" s="168"/>
      <c r="C33" s="50">
        <v>110</v>
      </c>
      <c r="D33" s="20">
        <v>120</v>
      </c>
      <c r="E33" s="39">
        <f>2.1*DieselBase+0.0001</f>
        <v>5.4367900000000002</v>
      </c>
      <c r="F33" s="21">
        <f>2.2*DieselBase</f>
        <v>5.6955800000000005</v>
      </c>
      <c r="G33" s="22">
        <f>1.1*DieselBase</f>
        <v>2.8477900000000003</v>
      </c>
      <c r="H33" s="9"/>
      <c r="I33" s="9"/>
    </row>
    <row r="34" spans="1:9" x14ac:dyDescent="0.2">
      <c r="A34" s="9"/>
      <c r="B34" s="168"/>
      <c r="C34" s="50">
        <v>120</v>
      </c>
      <c r="D34" s="20">
        <v>130</v>
      </c>
      <c r="E34" s="39">
        <f>2.2*DieselBase+0.0001</f>
        <v>5.6956800000000003</v>
      </c>
      <c r="F34" s="21">
        <f>2.3*DieselBase</f>
        <v>5.9544699999999997</v>
      </c>
      <c r="G34" s="22">
        <f>1.2*DieselBase</f>
        <v>3.1066800000000003</v>
      </c>
      <c r="H34" s="9"/>
      <c r="I34" s="9"/>
    </row>
    <row r="35" spans="1:9" x14ac:dyDescent="0.2">
      <c r="A35" s="9"/>
      <c r="B35" s="168"/>
      <c r="C35" s="50">
        <v>130</v>
      </c>
      <c r="D35" s="20">
        <v>140</v>
      </c>
      <c r="E35" s="39">
        <f>2.3*DieselBase+0.0001</f>
        <v>5.9545699999999995</v>
      </c>
      <c r="F35" s="21">
        <f>2.4*DieselBase</f>
        <v>6.2133600000000007</v>
      </c>
      <c r="G35" s="22">
        <f>1.3*DieselBase</f>
        <v>3.3655700000000004</v>
      </c>
      <c r="H35" s="9"/>
      <c r="I35" s="9"/>
    </row>
    <row r="36" spans="1:9" x14ac:dyDescent="0.2">
      <c r="A36" s="9"/>
      <c r="B36" s="168"/>
      <c r="C36" s="50">
        <v>140</v>
      </c>
      <c r="D36" s="20">
        <v>150</v>
      </c>
      <c r="E36" s="39">
        <f>2.4*DieselBase+0.0001</f>
        <v>6.2134600000000004</v>
      </c>
      <c r="F36" s="21">
        <f>2.5*DieselBase</f>
        <v>6.4722500000000007</v>
      </c>
      <c r="G36" s="22">
        <f>1.4*DieselBase</f>
        <v>3.62446</v>
      </c>
      <c r="H36" s="9"/>
      <c r="I36" s="9"/>
    </row>
    <row r="37" spans="1:9" x14ac:dyDescent="0.2">
      <c r="A37" s="9"/>
      <c r="B37" s="168"/>
      <c r="C37" s="50">
        <v>150</v>
      </c>
      <c r="D37" s="20">
        <v>160</v>
      </c>
      <c r="E37" s="39">
        <f>2.5*DieselBase+0.0001</f>
        <v>6.4723500000000005</v>
      </c>
      <c r="F37" s="21">
        <f>2.6*DieselBase</f>
        <v>6.7311400000000008</v>
      </c>
      <c r="G37" s="22">
        <f>1.5*DieselBase</f>
        <v>3.8833500000000001</v>
      </c>
      <c r="H37" s="9"/>
      <c r="I37" s="9"/>
    </row>
    <row r="38" spans="1:9" x14ac:dyDescent="0.2">
      <c r="A38" s="9"/>
      <c r="B38" s="168"/>
      <c r="C38" s="50">
        <v>160</v>
      </c>
      <c r="D38" s="20">
        <v>170</v>
      </c>
      <c r="E38" s="39">
        <f>2.6*DieselBase+0.0001</f>
        <v>6.7312400000000006</v>
      </c>
      <c r="F38" s="21">
        <f>2.7*DieselBase</f>
        <v>6.9900300000000009</v>
      </c>
      <c r="G38" s="22">
        <f>1.6*DieselBase</f>
        <v>4.1422400000000001</v>
      </c>
      <c r="H38" s="9"/>
      <c r="I38" s="9"/>
    </row>
    <row r="39" spans="1:9" x14ac:dyDescent="0.2">
      <c r="A39" s="9"/>
      <c r="B39" s="168"/>
      <c r="C39" s="50">
        <v>170</v>
      </c>
      <c r="D39" s="20">
        <v>180</v>
      </c>
      <c r="E39" s="39">
        <f>2.7*DieselBase+0.0001</f>
        <v>6.9901300000000006</v>
      </c>
      <c r="F39" s="21">
        <f>2.8*DieselBase</f>
        <v>7.24892</v>
      </c>
      <c r="G39" s="22">
        <f>1.7*DieselBase</f>
        <v>4.4011300000000002</v>
      </c>
      <c r="H39" s="9"/>
      <c r="I39" s="9"/>
    </row>
    <row r="40" spans="1:9" x14ac:dyDescent="0.2">
      <c r="A40" s="9"/>
      <c r="B40" s="168"/>
      <c r="C40" s="50">
        <v>180</v>
      </c>
      <c r="D40" s="20">
        <v>190</v>
      </c>
      <c r="E40" s="39">
        <f>2.8*DieselBase+0.0001</f>
        <v>7.2490199999999998</v>
      </c>
      <c r="F40" s="21">
        <f>2.9*DieselBase</f>
        <v>7.5078100000000001</v>
      </c>
      <c r="G40" s="22">
        <f>1.8*DieselBase</f>
        <v>4.6600200000000003</v>
      </c>
      <c r="H40" s="9"/>
      <c r="I40" s="9"/>
    </row>
    <row r="41" spans="1:9" x14ac:dyDescent="0.2">
      <c r="A41" s="9"/>
      <c r="B41" s="168"/>
      <c r="C41" s="50">
        <v>190</v>
      </c>
      <c r="D41" s="20">
        <v>200</v>
      </c>
      <c r="E41" s="39">
        <f>2.9*DieselBase+0.0001</f>
        <v>7.5079099999999999</v>
      </c>
      <c r="F41" s="21">
        <f>3*DieselBase</f>
        <v>7.7667000000000002</v>
      </c>
      <c r="G41" s="22">
        <f>1.9*DieselBase</f>
        <v>4.9189100000000003</v>
      </c>
      <c r="H41" s="9"/>
      <c r="I41" s="9"/>
    </row>
    <row r="42" spans="1:9" x14ac:dyDescent="0.2">
      <c r="A42" s="9"/>
      <c r="B42" s="168"/>
      <c r="C42" s="50">
        <v>200</v>
      </c>
      <c r="D42" s="20">
        <v>210</v>
      </c>
      <c r="E42" s="39">
        <f>3*DieselBase+0.0001</f>
        <v>7.7667999999999999</v>
      </c>
      <c r="F42" s="21">
        <f>3.1*DieselBase</f>
        <v>8.0255900000000011</v>
      </c>
      <c r="G42" s="22">
        <f>2*DieselBase</f>
        <v>5.1778000000000004</v>
      </c>
      <c r="H42" s="9"/>
      <c r="I42" s="9"/>
    </row>
    <row r="43" spans="1:9" x14ac:dyDescent="0.2">
      <c r="A43" s="9"/>
      <c r="B43" s="168"/>
      <c r="C43" s="50">
        <v>210</v>
      </c>
      <c r="D43" s="20">
        <v>220</v>
      </c>
      <c r="E43" s="39">
        <f>3.1*DieselBase+0.0001</f>
        <v>8.0256900000000009</v>
      </c>
      <c r="F43" s="21">
        <f>3.2*DieselBase</f>
        <v>8.2844800000000003</v>
      </c>
      <c r="G43" s="22">
        <f>2.1*DieselBase</f>
        <v>5.4366900000000005</v>
      </c>
      <c r="H43" s="9"/>
      <c r="I43" s="9"/>
    </row>
    <row r="44" spans="1:9" x14ac:dyDescent="0.2">
      <c r="A44" s="9"/>
      <c r="B44" s="168"/>
      <c r="C44" s="50">
        <v>220</v>
      </c>
      <c r="D44" s="20">
        <v>230</v>
      </c>
      <c r="E44" s="39">
        <f>3.2*DieselBase+0.0001</f>
        <v>8.2845800000000001</v>
      </c>
      <c r="F44" s="21">
        <f>3.3*DieselBase</f>
        <v>8.5433699999999995</v>
      </c>
      <c r="G44" s="22">
        <f>2.2*DieselBase</f>
        <v>5.6955800000000005</v>
      </c>
      <c r="H44" s="9"/>
      <c r="I44" s="9"/>
    </row>
    <row r="45" spans="1:9" x14ac:dyDescent="0.2">
      <c r="A45" s="9"/>
      <c r="B45" s="168"/>
      <c r="C45" s="50">
        <v>230</v>
      </c>
      <c r="D45" s="20">
        <v>240</v>
      </c>
      <c r="E45" s="39">
        <f>3.3*DieselBase+0.0001</f>
        <v>8.5434699999999992</v>
      </c>
      <c r="F45" s="21">
        <f>3.4*DieselBase</f>
        <v>8.8022600000000004</v>
      </c>
      <c r="G45" s="22">
        <f>2.3*DieselBase</f>
        <v>5.9544699999999997</v>
      </c>
      <c r="H45" s="9"/>
      <c r="I45" s="9"/>
    </row>
    <row r="46" spans="1:9" x14ac:dyDescent="0.2">
      <c r="A46" s="9"/>
      <c r="B46" s="168"/>
      <c r="C46" s="50">
        <v>240</v>
      </c>
      <c r="D46" s="20">
        <v>250</v>
      </c>
      <c r="E46" s="39">
        <f>3.4*DieselBase+0.0001</f>
        <v>8.8023600000000002</v>
      </c>
      <c r="F46" s="21">
        <f>3.5*DieselBase</f>
        <v>9.0611500000000014</v>
      </c>
      <c r="G46" s="22">
        <f>2.4*DieselBase</f>
        <v>6.2133600000000007</v>
      </c>
      <c r="H46" s="9"/>
      <c r="I46" s="9"/>
    </row>
    <row r="47" spans="1:9" x14ac:dyDescent="0.2">
      <c r="A47" s="9"/>
      <c r="B47" s="168"/>
      <c r="C47" s="50">
        <v>250</v>
      </c>
      <c r="D47" s="20">
        <v>260</v>
      </c>
      <c r="E47" s="39">
        <f>3.5*DieselBase+0.0001</f>
        <v>9.0612500000000011</v>
      </c>
      <c r="F47" s="21">
        <f>3.6*DieselBase</f>
        <v>9.3200400000000005</v>
      </c>
      <c r="G47" s="22">
        <f>2.5*DieselBase</f>
        <v>6.4722500000000007</v>
      </c>
      <c r="H47" s="9"/>
      <c r="I47" s="9"/>
    </row>
    <row r="48" spans="1:9" x14ac:dyDescent="0.2">
      <c r="A48" s="9"/>
      <c r="B48" s="168"/>
      <c r="C48" s="50">
        <v>260</v>
      </c>
      <c r="D48" s="20">
        <v>270</v>
      </c>
      <c r="E48" s="39">
        <f>3.6*DieselBase+0.0001</f>
        <v>9.3201400000000003</v>
      </c>
      <c r="F48" s="21">
        <f>3.7*DieselBase</f>
        <v>9.5789300000000015</v>
      </c>
      <c r="G48" s="22">
        <f>2.6*DieselBase</f>
        <v>6.7311400000000008</v>
      </c>
      <c r="H48" s="9"/>
      <c r="I48" s="9"/>
    </row>
    <row r="49" spans="1:9" x14ac:dyDescent="0.2">
      <c r="A49" s="9"/>
      <c r="B49" s="168"/>
      <c r="C49" s="50">
        <v>270</v>
      </c>
      <c r="D49" s="20">
        <v>280</v>
      </c>
      <c r="E49" s="39">
        <f>3.7*DieselBase+0.0001</f>
        <v>9.5790300000000013</v>
      </c>
      <c r="F49" s="21">
        <f>3.8*DieselBase</f>
        <v>9.8378200000000007</v>
      </c>
      <c r="G49" s="22">
        <f>2.7*DieselBase</f>
        <v>6.9900300000000009</v>
      </c>
      <c r="H49" s="9"/>
      <c r="I49" s="9"/>
    </row>
    <row r="50" spans="1:9" x14ac:dyDescent="0.2">
      <c r="A50" s="9"/>
      <c r="B50" s="168"/>
      <c r="C50" s="50">
        <v>280</v>
      </c>
      <c r="D50" s="20">
        <v>290</v>
      </c>
      <c r="E50" s="39">
        <f>3.8*DieselBase+0.0001</f>
        <v>9.8379200000000004</v>
      </c>
      <c r="F50" s="21">
        <f>3.9*DieselBase</f>
        <v>10.09671</v>
      </c>
      <c r="G50" s="22">
        <f>2.8*DieselBase</f>
        <v>7.24892</v>
      </c>
      <c r="H50" s="9"/>
      <c r="I50" s="9"/>
    </row>
    <row r="51" spans="1:9" ht="13.5" thickBot="1" x14ac:dyDescent="0.25">
      <c r="A51" s="9"/>
      <c r="B51" s="171"/>
      <c r="C51" s="53">
        <v>290</v>
      </c>
      <c r="D51" s="23">
        <v>300</v>
      </c>
      <c r="E51" s="54">
        <f>3.9*DieselBase+0.0001</f>
        <v>10.09681</v>
      </c>
      <c r="F51" s="24">
        <f>4*DieselBase</f>
        <v>10.355600000000001</v>
      </c>
      <c r="G51" s="25">
        <f>2.9*DieselBase</f>
        <v>7.5078100000000001</v>
      </c>
      <c r="H51" s="9"/>
      <c r="I51" s="9"/>
    </row>
    <row r="52" spans="1:9" x14ac:dyDescent="0.2">
      <c r="A52" s="9"/>
      <c r="B52" s="26"/>
      <c r="C52" s="27"/>
      <c r="D52" s="27"/>
      <c r="E52" s="28"/>
      <c r="F52" s="28"/>
      <c r="G52" s="28"/>
      <c r="H52" s="9"/>
      <c r="I52" s="9"/>
    </row>
    <row r="53" spans="1:9" x14ac:dyDescent="0.2">
      <c r="A53" s="9"/>
      <c r="B53" s="26"/>
      <c r="C53" s="27"/>
      <c r="D53" s="27"/>
      <c r="E53" s="28"/>
      <c r="F53" s="28"/>
      <c r="G53" s="28"/>
      <c r="H53" s="9"/>
      <c r="I53" s="9"/>
    </row>
    <row r="54" spans="1:9" x14ac:dyDescent="0.2">
      <c r="A54" s="9"/>
      <c r="B54" s="26"/>
      <c r="C54" s="27"/>
      <c r="D54" s="27"/>
      <c r="E54" s="28"/>
      <c r="F54" s="28"/>
      <c r="G54" s="28"/>
      <c r="H54" s="9"/>
      <c r="I54" s="9"/>
    </row>
    <row r="55" spans="1:9" x14ac:dyDescent="0.2">
      <c r="A55" s="9"/>
      <c r="B55" s="26"/>
      <c r="C55" s="27"/>
      <c r="D55" s="27"/>
      <c r="E55" s="28"/>
      <c r="F55" s="28"/>
      <c r="G55" s="28"/>
      <c r="H55" s="9"/>
      <c r="I55" s="9"/>
    </row>
    <row r="56" spans="1:9" x14ac:dyDescent="0.2">
      <c r="A56" s="9"/>
      <c r="B56" s="10"/>
      <c r="C56" s="10"/>
      <c r="D56" s="10"/>
      <c r="E56" s="10"/>
      <c r="F56" s="10"/>
      <c r="G56" s="10"/>
      <c r="H56" s="9"/>
      <c r="I56" s="9"/>
    </row>
    <row r="57" spans="1:9" ht="13.5" thickBot="1" x14ac:dyDescent="0.25">
      <c r="A57" s="9"/>
      <c r="B57" s="10"/>
      <c r="C57" s="10"/>
      <c r="D57" s="10"/>
      <c r="E57" s="10"/>
      <c r="F57" s="10"/>
      <c r="G57" s="10"/>
      <c r="H57" s="9"/>
      <c r="I57" s="9"/>
    </row>
    <row r="58" spans="1:9" ht="15.75" x14ac:dyDescent="0.25">
      <c r="A58" s="9"/>
      <c r="B58" s="174" t="s">
        <v>55</v>
      </c>
      <c r="C58" s="175"/>
      <c r="D58" s="175"/>
      <c r="E58" s="175"/>
      <c r="F58" s="175"/>
      <c r="G58" s="176"/>
      <c r="H58" s="9"/>
      <c r="I58" s="9"/>
    </row>
    <row r="59" spans="1:9" x14ac:dyDescent="0.2">
      <c r="A59" s="9"/>
      <c r="B59" s="11"/>
      <c r="C59" s="12"/>
      <c r="D59" s="12"/>
      <c r="E59" s="12"/>
      <c r="F59" s="12"/>
      <c r="G59" s="13"/>
      <c r="H59" s="9"/>
      <c r="I59" s="9"/>
    </row>
    <row r="60" spans="1:9" x14ac:dyDescent="0.2">
      <c r="A60" s="9"/>
      <c r="B60" s="11"/>
      <c r="C60" s="177" t="s">
        <v>50</v>
      </c>
      <c r="D60" s="178"/>
      <c r="E60" s="14">
        <f>UnleadedBase</f>
        <v>2.2722224999999998</v>
      </c>
      <c r="F60" s="12"/>
      <c r="G60" s="13"/>
      <c r="H60" s="9"/>
      <c r="I60" s="9"/>
    </row>
    <row r="61" spans="1:9" x14ac:dyDescent="0.2">
      <c r="A61" s="9"/>
      <c r="B61" s="11"/>
      <c r="C61" s="181" t="s">
        <v>51</v>
      </c>
      <c r="D61" s="182"/>
      <c r="E61" s="15">
        <f>UnleadedCurrent</f>
        <v>2.2722224999999998</v>
      </c>
      <c r="F61" s="12"/>
      <c r="G61" s="13"/>
      <c r="H61" s="9"/>
      <c r="I61" s="9"/>
    </row>
    <row r="62" spans="1:9" x14ac:dyDescent="0.2">
      <c r="A62" s="9"/>
      <c r="B62" s="11"/>
      <c r="C62" s="179" t="s">
        <v>52</v>
      </c>
      <c r="D62" s="180"/>
      <c r="E62" s="16">
        <f>VLOOKUP(E61,E67:G106,3)</f>
        <v>0</v>
      </c>
      <c r="F62" s="12"/>
      <c r="G62" s="13"/>
      <c r="H62" s="9"/>
      <c r="I62" s="9"/>
    </row>
    <row r="63" spans="1:9" x14ac:dyDescent="0.2">
      <c r="A63" s="9"/>
      <c r="B63" s="11"/>
      <c r="C63" s="12"/>
      <c r="D63" s="12"/>
      <c r="E63" s="12"/>
      <c r="F63" s="12"/>
      <c r="G63" s="13"/>
      <c r="H63" s="9"/>
      <c r="I63" s="9"/>
    </row>
    <row r="64" spans="1:9" x14ac:dyDescent="0.2">
      <c r="A64" s="9"/>
      <c r="B64" s="11"/>
      <c r="C64" s="12"/>
      <c r="D64" s="12"/>
      <c r="E64" s="12"/>
      <c r="F64" s="12"/>
      <c r="G64" s="13"/>
      <c r="H64" s="9"/>
      <c r="I64" s="9"/>
    </row>
    <row r="65" spans="1:9" x14ac:dyDescent="0.2">
      <c r="A65" s="9"/>
      <c r="B65" s="11"/>
      <c r="C65" s="12"/>
      <c r="D65" s="12"/>
      <c r="E65" s="12"/>
      <c r="F65" s="12"/>
      <c r="G65" s="13"/>
      <c r="H65" s="9"/>
      <c r="I65" s="9"/>
    </row>
    <row r="66" spans="1:9" ht="13.5" thickBot="1" x14ac:dyDescent="0.25">
      <c r="A66" s="9"/>
      <c r="B66" s="11"/>
      <c r="C66" s="12"/>
      <c r="D66" s="12"/>
      <c r="E66" s="12"/>
      <c r="F66" s="12"/>
      <c r="G66" s="13"/>
      <c r="H66" s="9"/>
      <c r="I66" s="9"/>
    </row>
    <row r="67" spans="1:9" x14ac:dyDescent="0.2">
      <c r="A67" s="9"/>
      <c r="B67" s="167" t="s">
        <v>53</v>
      </c>
      <c r="C67" s="49">
        <v>90</v>
      </c>
      <c r="D67" s="17">
        <v>100</v>
      </c>
      <c r="E67" s="38">
        <f>0*UnleadedBase</f>
        <v>0</v>
      </c>
      <c r="F67" s="18">
        <f>0.1*UnleadedBase-0.0001</f>
        <v>0.22712225</v>
      </c>
      <c r="G67" s="19">
        <f>-0.9*UnleadedBase</f>
        <v>-2.0450002499999997</v>
      </c>
      <c r="H67" s="9"/>
      <c r="I67" s="9"/>
    </row>
    <row r="68" spans="1:9" x14ac:dyDescent="0.2">
      <c r="A68" s="9"/>
      <c r="B68" s="168"/>
      <c r="C68" s="50">
        <v>80</v>
      </c>
      <c r="D68" s="20">
        <v>90</v>
      </c>
      <c r="E68" s="40">
        <f>0.1*UnleadedBase</f>
        <v>0.22722224999999999</v>
      </c>
      <c r="F68" s="21">
        <f>0.2*UnleadedBase-0.0001</f>
        <v>0.45434449999999998</v>
      </c>
      <c r="G68" s="22">
        <f>-0.8*UnleadedBase</f>
        <v>-1.8177779999999999</v>
      </c>
      <c r="H68" s="9"/>
      <c r="I68" s="9"/>
    </row>
    <row r="69" spans="1:9" x14ac:dyDescent="0.2">
      <c r="A69" s="9"/>
      <c r="B69" s="168"/>
      <c r="C69" s="50">
        <v>70</v>
      </c>
      <c r="D69" s="20">
        <v>80</v>
      </c>
      <c r="E69" s="40">
        <f>0.2*UnleadedBase</f>
        <v>0.45444449999999997</v>
      </c>
      <c r="F69" s="21">
        <f>0.3*UnleadedBase-0.0001</f>
        <v>0.68156674999999989</v>
      </c>
      <c r="G69" s="22">
        <f>-0.7*UnleadedBase</f>
        <v>-1.5905557499999998</v>
      </c>
      <c r="H69" s="9"/>
      <c r="I69" s="9"/>
    </row>
    <row r="70" spans="1:9" x14ac:dyDescent="0.2">
      <c r="A70" s="9"/>
      <c r="B70" s="168"/>
      <c r="C70" s="50">
        <v>60</v>
      </c>
      <c r="D70" s="20">
        <v>70</v>
      </c>
      <c r="E70" s="40">
        <f>0.3*UnleadedBase</f>
        <v>0.68166674999999988</v>
      </c>
      <c r="F70" s="21">
        <f>0.4*UnleadedBase-0.0001</f>
        <v>0.90878899999999996</v>
      </c>
      <c r="G70" s="22">
        <f>-0.6*UnleadedBase</f>
        <v>-1.3633334999999998</v>
      </c>
      <c r="H70" s="9"/>
      <c r="I70" s="9"/>
    </row>
    <row r="71" spans="1:9" x14ac:dyDescent="0.2">
      <c r="A71" s="9"/>
      <c r="B71" s="168"/>
      <c r="C71" s="50">
        <v>50</v>
      </c>
      <c r="D71" s="20">
        <v>60</v>
      </c>
      <c r="E71" s="40">
        <f>0.4*UnleadedBase</f>
        <v>0.90888899999999995</v>
      </c>
      <c r="F71" s="21">
        <f>0.5*UnleadedBase-0.0001</f>
        <v>1.1360112499999999</v>
      </c>
      <c r="G71" s="22">
        <f>-0.5*UnleadedBase</f>
        <v>-1.1361112499999999</v>
      </c>
      <c r="H71" s="9"/>
      <c r="I71" s="9"/>
    </row>
    <row r="72" spans="1:9" x14ac:dyDescent="0.2">
      <c r="A72" s="9"/>
      <c r="B72" s="168"/>
      <c r="C72" s="50">
        <v>40</v>
      </c>
      <c r="D72" s="20">
        <v>50</v>
      </c>
      <c r="E72" s="40">
        <f>0.5*UnleadedBase</f>
        <v>1.1361112499999999</v>
      </c>
      <c r="F72" s="21">
        <f>0.6*UnleadedBase-0.0001</f>
        <v>1.3632334999999998</v>
      </c>
      <c r="G72" s="22">
        <f>-0.4*UnleadedBase</f>
        <v>-0.90888899999999995</v>
      </c>
      <c r="H72" s="9"/>
      <c r="I72" s="9"/>
    </row>
    <row r="73" spans="1:9" x14ac:dyDescent="0.2">
      <c r="A73" s="9"/>
      <c r="B73" s="168"/>
      <c r="C73" s="50">
        <v>30</v>
      </c>
      <c r="D73" s="20">
        <v>40</v>
      </c>
      <c r="E73" s="40">
        <f>0.6*UnleadedBase</f>
        <v>1.3633334999999998</v>
      </c>
      <c r="F73" s="21">
        <f>0.7*UnleadedBase-0.0001</f>
        <v>1.5904557499999998</v>
      </c>
      <c r="G73" s="22">
        <f>-0.3*UnleadedBase</f>
        <v>-0.68166674999999988</v>
      </c>
      <c r="H73" s="9"/>
      <c r="I73" s="9"/>
    </row>
    <row r="74" spans="1:9" x14ac:dyDescent="0.2">
      <c r="A74" s="9"/>
      <c r="B74" s="168"/>
      <c r="C74" s="50">
        <v>20</v>
      </c>
      <c r="D74" s="20">
        <v>30</v>
      </c>
      <c r="E74" s="40">
        <f>0.7*UnleadedBase</f>
        <v>1.5905557499999998</v>
      </c>
      <c r="F74" s="21">
        <f>0.8*UnleadedBase-0.0001</f>
        <v>1.8176779999999999</v>
      </c>
      <c r="G74" s="22">
        <f>-0.2*UnleadedBase</f>
        <v>-0.45444449999999997</v>
      </c>
      <c r="H74" s="9"/>
      <c r="I74" s="9"/>
    </row>
    <row r="75" spans="1:9" x14ac:dyDescent="0.2">
      <c r="A75" s="9"/>
      <c r="B75" s="168"/>
      <c r="C75" s="50">
        <v>10</v>
      </c>
      <c r="D75" s="20">
        <v>20</v>
      </c>
      <c r="E75" s="40">
        <f>0.8*UnleadedBase</f>
        <v>1.8177779999999999</v>
      </c>
      <c r="F75" s="21">
        <f>0.9*UnleadedBase-0.0001</f>
        <v>2.0449002499999995</v>
      </c>
      <c r="G75" s="22">
        <f>-0.1*UnleadedBase</f>
        <v>-0.22722224999999999</v>
      </c>
      <c r="H75" s="9"/>
      <c r="I75" s="9"/>
    </row>
    <row r="76" spans="1:9" x14ac:dyDescent="0.2">
      <c r="A76" s="9"/>
      <c r="B76" s="169"/>
      <c r="C76" s="57">
        <v>0</v>
      </c>
      <c r="D76" s="56">
        <v>10</v>
      </c>
      <c r="E76" s="42">
        <f>0.9*UnleadedBase</f>
        <v>2.0450002499999997</v>
      </c>
      <c r="F76" s="43">
        <f>1*UnleadedBase-0.0001</f>
        <v>2.2721224999999996</v>
      </c>
      <c r="G76" s="44">
        <f>0*UnleadedBase</f>
        <v>0</v>
      </c>
      <c r="H76" s="9"/>
      <c r="I76" s="9"/>
    </row>
    <row r="77" spans="1:9" x14ac:dyDescent="0.2">
      <c r="A77" s="9"/>
      <c r="B77" s="170" t="s">
        <v>54</v>
      </c>
      <c r="C77" s="58">
        <v>0</v>
      </c>
      <c r="D77" s="55">
        <v>10</v>
      </c>
      <c r="E77" s="46">
        <f>1*UnleadedBase</f>
        <v>2.2722224999999998</v>
      </c>
      <c r="F77" s="47">
        <f>1.1*UnleadedBase</f>
        <v>2.4994447499999999</v>
      </c>
      <c r="G77" s="48">
        <f>0*UnleadedBase</f>
        <v>0</v>
      </c>
      <c r="H77" s="9"/>
      <c r="I77" s="9"/>
    </row>
    <row r="78" spans="1:9" x14ac:dyDescent="0.2">
      <c r="A78" s="9"/>
      <c r="B78" s="168"/>
      <c r="C78" s="50">
        <v>10</v>
      </c>
      <c r="D78" s="20">
        <v>20</v>
      </c>
      <c r="E78" s="39">
        <f>1.1*UnleadedBase+0.0001</f>
        <v>2.4995447500000001</v>
      </c>
      <c r="F78" s="21">
        <f>1.2*UnleadedBase</f>
        <v>2.7266669999999995</v>
      </c>
      <c r="G78" s="22">
        <f>0.1*UnleadedBase</f>
        <v>0.22722224999999999</v>
      </c>
      <c r="H78" s="9"/>
      <c r="I78" s="9"/>
    </row>
    <row r="79" spans="1:9" x14ac:dyDescent="0.2">
      <c r="A79" s="9"/>
      <c r="B79" s="168"/>
      <c r="C79" s="50">
        <v>20</v>
      </c>
      <c r="D79" s="20">
        <v>30</v>
      </c>
      <c r="E79" s="39">
        <f>1.2*UnleadedBase+0.0001</f>
        <v>2.7267669999999997</v>
      </c>
      <c r="F79" s="21">
        <f>1.3*UnleadedBase</f>
        <v>2.95388925</v>
      </c>
      <c r="G79" s="22">
        <f>0.2*UnleadedBase</f>
        <v>0.45444449999999997</v>
      </c>
      <c r="H79" s="9"/>
      <c r="I79" s="9"/>
    </row>
    <row r="80" spans="1:9" x14ac:dyDescent="0.2">
      <c r="A80" s="9"/>
      <c r="B80" s="168"/>
      <c r="C80" s="50">
        <v>30</v>
      </c>
      <c r="D80" s="20">
        <v>40</v>
      </c>
      <c r="E80" s="39">
        <f>1.3*UnleadedBase+0.0001</f>
        <v>2.9539892500000002</v>
      </c>
      <c r="F80" s="21">
        <f>1.4*UnleadedBase</f>
        <v>3.1811114999999996</v>
      </c>
      <c r="G80" s="22">
        <f>0.3*UnleadedBase</f>
        <v>0.68166674999999988</v>
      </c>
      <c r="H80" s="9"/>
      <c r="I80" s="9"/>
    </row>
    <row r="81" spans="1:9" x14ac:dyDescent="0.2">
      <c r="A81" s="9"/>
      <c r="B81" s="168"/>
      <c r="C81" s="50">
        <v>40</v>
      </c>
      <c r="D81" s="20">
        <v>50</v>
      </c>
      <c r="E81" s="39">
        <f>1.4*UnleadedBase+0.0001</f>
        <v>3.1812114999999999</v>
      </c>
      <c r="F81" s="21">
        <f>1.5*UnleadedBase</f>
        <v>3.4083337499999997</v>
      </c>
      <c r="G81" s="22">
        <f>0.4*UnleadedBase</f>
        <v>0.90888899999999995</v>
      </c>
      <c r="H81" s="9"/>
      <c r="I81" s="9"/>
    </row>
    <row r="82" spans="1:9" x14ac:dyDescent="0.2">
      <c r="A82" s="9"/>
      <c r="B82" s="168"/>
      <c r="C82" s="50">
        <v>50</v>
      </c>
      <c r="D82" s="20">
        <v>60</v>
      </c>
      <c r="E82" s="39">
        <f>1.5*UnleadedBase+0.0001</f>
        <v>3.4084337499999999</v>
      </c>
      <c r="F82" s="21">
        <f>1.6*UnleadedBase</f>
        <v>3.6355559999999998</v>
      </c>
      <c r="G82" s="22">
        <f>0.5*UnleadedBase</f>
        <v>1.1361112499999999</v>
      </c>
      <c r="H82" s="9"/>
      <c r="I82" s="9"/>
    </row>
    <row r="83" spans="1:9" x14ac:dyDescent="0.2">
      <c r="A83" s="9"/>
      <c r="B83" s="168"/>
      <c r="C83" s="50">
        <v>60</v>
      </c>
      <c r="D83" s="20">
        <v>70</v>
      </c>
      <c r="E83" s="39">
        <f>1.6*UnleadedBase+0.0001</f>
        <v>3.635656</v>
      </c>
      <c r="F83" s="21">
        <f>1.7*UnleadedBase</f>
        <v>3.8627782499999994</v>
      </c>
      <c r="G83" s="22">
        <f>0.6*UnleadedBase</f>
        <v>1.3633334999999998</v>
      </c>
      <c r="H83" s="9"/>
      <c r="I83" s="9"/>
    </row>
    <row r="84" spans="1:9" x14ac:dyDescent="0.2">
      <c r="A84" s="9"/>
      <c r="B84" s="168"/>
      <c r="C84" s="50">
        <v>70</v>
      </c>
      <c r="D84" s="20">
        <v>80</v>
      </c>
      <c r="E84" s="39">
        <f>1.7*UnleadedBase+0.0001</f>
        <v>3.8628782499999996</v>
      </c>
      <c r="F84" s="21">
        <f>1.8*UnleadedBase</f>
        <v>4.0900004999999995</v>
      </c>
      <c r="G84" s="22">
        <f>0.7*UnleadedBase</f>
        <v>1.5905557499999998</v>
      </c>
      <c r="H84" s="9"/>
      <c r="I84" s="9"/>
    </row>
    <row r="85" spans="1:9" x14ac:dyDescent="0.2">
      <c r="A85" s="9"/>
      <c r="B85" s="168"/>
      <c r="C85" s="50">
        <v>80</v>
      </c>
      <c r="D85" s="20">
        <v>90</v>
      </c>
      <c r="E85" s="39">
        <f>1.8*UnleadedBase+0.0001</f>
        <v>4.0901004999999993</v>
      </c>
      <c r="F85" s="21">
        <f>1.9*UnleadedBase</f>
        <v>4.3172227499999991</v>
      </c>
      <c r="G85" s="22">
        <f>0.8*UnleadedBase</f>
        <v>1.8177779999999999</v>
      </c>
      <c r="H85" s="9"/>
      <c r="I85" s="9"/>
    </row>
    <row r="86" spans="1:9" x14ac:dyDescent="0.2">
      <c r="A86" s="9"/>
      <c r="B86" s="168"/>
      <c r="C86" s="50">
        <v>90</v>
      </c>
      <c r="D86" s="20">
        <v>100</v>
      </c>
      <c r="E86" s="39">
        <f>1.9*UnleadedBase+0.0001</f>
        <v>4.3173227499999989</v>
      </c>
      <c r="F86" s="21">
        <f>2*UnleadedBase</f>
        <v>4.5444449999999996</v>
      </c>
      <c r="G86" s="22">
        <f>0.9*UnleadedBase</f>
        <v>2.0450002499999997</v>
      </c>
      <c r="H86" s="9"/>
      <c r="I86" s="9"/>
    </row>
    <row r="87" spans="1:9" x14ac:dyDescent="0.2">
      <c r="A87" s="9"/>
      <c r="B87" s="168"/>
      <c r="C87" s="50">
        <v>100</v>
      </c>
      <c r="D87" s="20">
        <v>110</v>
      </c>
      <c r="E87" s="39">
        <f>2*UnleadedBase+0.0001</f>
        <v>4.5445449999999994</v>
      </c>
      <c r="F87" s="21">
        <f>2.1*UnleadedBase</f>
        <v>4.7716672500000001</v>
      </c>
      <c r="G87" s="22">
        <f>1*UnleadedBase</f>
        <v>2.2722224999999998</v>
      </c>
      <c r="H87" s="9"/>
      <c r="I87" s="9"/>
    </row>
    <row r="88" spans="1:9" x14ac:dyDescent="0.2">
      <c r="A88" s="9"/>
      <c r="B88" s="168"/>
      <c r="C88" s="50">
        <v>110</v>
      </c>
      <c r="D88" s="20">
        <v>120</v>
      </c>
      <c r="E88" s="39">
        <f>2.1*UnleadedBase+0.0001</f>
        <v>4.7717672499999999</v>
      </c>
      <c r="F88" s="21">
        <f>2.2*UnleadedBase</f>
        <v>4.9988894999999998</v>
      </c>
      <c r="G88" s="22">
        <f>1.1*UnleadedBase</f>
        <v>2.4994447499999999</v>
      </c>
      <c r="H88" s="9"/>
      <c r="I88" s="9"/>
    </row>
    <row r="89" spans="1:9" x14ac:dyDescent="0.2">
      <c r="A89" s="9"/>
      <c r="B89" s="168"/>
      <c r="C89" s="50">
        <v>120</v>
      </c>
      <c r="D89" s="20">
        <v>130</v>
      </c>
      <c r="E89" s="39">
        <f>2.2*UnleadedBase+0.0001</f>
        <v>4.9989894999999995</v>
      </c>
      <c r="F89" s="21">
        <f>2.3*UnleadedBase</f>
        <v>5.2261117499999994</v>
      </c>
      <c r="G89" s="22">
        <f>1.2*UnleadedBase</f>
        <v>2.7266669999999995</v>
      </c>
      <c r="H89" s="9"/>
      <c r="I89" s="9"/>
    </row>
    <row r="90" spans="1:9" x14ac:dyDescent="0.2">
      <c r="A90" s="9"/>
      <c r="B90" s="168"/>
      <c r="C90" s="50">
        <v>130</v>
      </c>
      <c r="D90" s="20">
        <v>140</v>
      </c>
      <c r="E90" s="39">
        <f>2.3*UnleadedBase+0.0001</f>
        <v>5.2262117499999992</v>
      </c>
      <c r="F90" s="21">
        <f>2.4*UnleadedBase</f>
        <v>5.453333999999999</v>
      </c>
      <c r="G90" s="22">
        <f>1.3*UnleadedBase</f>
        <v>2.95388925</v>
      </c>
      <c r="H90" s="9"/>
      <c r="I90" s="9"/>
    </row>
    <row r="91" spans="1:9" x14ac:dyDescent="0.2">
      <c r="A91" s="9"/>
      <c r="B91" s="168"/>
      <c r="C91" s="50">
        <v>140</v>
      </c>
      <c r="D91" s="20">
        <v>150</v>
      </c>
      <c r="E91" s="39">
        <f>2.4*UnleadedBase+0.0001</f>
        <v>5.4534339999999988</v>
      </c>
      <c r="F91" s="21">
        <f>2.5*UnleadedBase</f>
        <v>5.6805562499999995</v>
      </c>
      <c r="G91" s="22">
        <f>1.4*UnleadedBase</f>
        <v>3.1811114999999996</v>
      </c>
      <c r="H91" s="9"/>
      <c r="I91" s="9"/>
    </row>
    <row r="92" spans="1:9" x14ac:dyDescent="0.2">
      <c r="A92" s="9"/>
      <c r="B92" s="168"/>
      <c r="C92" s="50">
        <v>150</v>
      </c>
      <c r="D92" s="20">
        <v>160</v>
      </c>
      <c r="E92" s="39">
        <f>2.5*UnleadedBase+0.0001</f>
        <v>5.6806562499999993</v>
      </c>
      <c r="F92" s="21">
        <f>2.6*UnleadedBase</f>
        <v>5.9077785</v>
      </c>
      <c r="G92" s="22">
        <f>1.5*UnleadedBase</f>
        <v>3.4083337499999997</v>
      </c>
      <c r="H92" s="9"/>
      <c r="I92" s="9"/>
    </row>
    <row r="93" spans="1:9" x14ac:dyDescent="0.2">
      <c r="A93" s="9"/>
      <c r="B93" s="168"/>
      <c r="C93" s="50">
        <v>160</v>
      </c>
      <c r="D93" s="20">
        <v>170</v>
      </c>
      <c r="E93" s="39">
        <f>2.6*UnleadedBase+0.0001</f>
        <v>5.9078784999999998</v>
      </c>
      <c r="F93" s="21">
        <f>2.7*UnleadedBase</f>
        <v>6.1350007499999997</v>
      </c>
      <c r="G93" s="22">
        <f>1.6*UnleadedBase</f>
        <v>3.6355559999999998</v>
      </c>
      <c r="H93" s="9"/>
      <c r="I93" s="9"/>
    </row>
    <row r="94" spans="1:9" x14ac:dyDescent="0.2">
      <c r="A94" s="9"/>
      <c r="B94" s="168"/>
      <c r="C94" s="50">
        <v>170</v>
      </c>
      <c r="D94" s="20">
        <v>180</v>
      </c>
      <c r="E94" s="39">
        <f>2.7*UnleadedBase+0.0001</f>
        <v>6.1351007499999994</v>
      </c>
      <c r="F94" s="21">
        <f>2.8*UnleadedBase</f>
        <v>6.3622229999999993</v>
      </c>
      <c r="G94" s="22">
        <f>1.7*UnleadedBase</f>
        <v>3.8627782499999994</v>
      </c>
      <c r="H94" s="9"/>
      <c r="I94" s="9"/>
    </row>
    <row r="95" spans="1:9" x14ac:dyDescent="0.2">
      <c r="A95" s="9"/>
      <c r="B95" s="168"/>
      <c r="C95" s="50">
        <v>180</v>
      </c>
      <c r="D95" s="20">
        <v>190</v>
      </c>
      <c r="E95" s="39">
        <f>2.8*UnleadedBase+0.0001</f>
        <v>6.3623229999999991</v>
      </c>
      <c r="F95" s="21">
        <f>2.9*UnleadedBase</f>
        <v>6.5894452499999989</v>
      </c>
      <c r="G95" s="22">
        <f>1.8*UnleadedBase</f>
        <v>4.0900004999999995</v>
      </c>
      <c r="H95" s="9"/>
      <c r="I95" s="9"/>
    </row>
    <row r="96" spans="1:9" x14ac:dyDescent="0.2">
      <c r="A96" s="9"/>
      <c r="B96" s="168"/>
      <c r="C96" s="50">
        <v>190</v>
      </c>
      <c r="D96" s="20">
        <v>200</v>
      </c>
      <c r="E96" s="39">
        <f>2.9*UnleadedBase+0.0001</f>
        <v>6.5895452499999987</v>
      </c>
      <c r="F96" s="21">
        <f>3*UnleadedBase</f>
        <v>6.8166674999999994</v>
      </c>
      <c r="G96" s="22">
        <f>1.9*UnleadedBase</f>
        <v>4.3172227499999991</v>
      </c>
      <c r="H96" s="9"/>
      <c r="I96" s="9"/>
    </row>
    <row r="97" spans="1:9" x14ac:dyDescent="0.2">
      <c r="A97" s="9"/>
      <c r="B97" s="168"/>
      <c r="C97" s="50">
        <v>200</v>
      </c>
      <c r="D97" s="20">
        <v>210</v>
      </c>
      <c r="E97" s="39">
        <f>3*UnleadedBase+0.0001</f>
        <v>6.8167674999999992</v>
      </c>
      <c r="F97" s="21">
        <f>3.1*UnleadedBase</f>
        <v>7.0438897499999999</v>
      </c>
      <c r="G97" s="22">
        <f>2*UnleadedBase</f>
        <v>4.5444449999999996</v>
      </c>
      <c r="H97" s="9"/>
      <c r="I97" s="9"/>
    </row>
    <row r="98" spans="1:9" x14ac:dyDescent="0.2">
      <c r="A98" s="9"/>
      <c r="B98" s="168"/>
      <c r="C98" s="50">
        <v>210</v>
      </c>
      <c r="D98" s="20">
        <v>220</v>
      </c>
      <c r="E98" s="39">
        <f>3.1*UnleadedBase+0.0001</f>
        <v>7.0439897499999997</v>
      </c>
      <c r="F98" s="21">
        <f>3.2*UnleadedBase</f>
        <v>7.2711119999999996</v>
      </c>
      <c r="G98" s="22">
        <f>2.1*UnleadedBase</f>
        <v>4.7716672500000001</v>
      </c>
      <c r="H98" s="9"/>
      <c r="I98" s="9"/>
    </row>
    <row r="99" spans="1:9" x14ac:dyDescent="0.2">
      <c r="A99" s="9"/>
      <c r="B99" s="168"/>
      <c r="C99" s="50">
        <v>220</v>
      </c>
      <c r="D99" s="20">
        <v>230</v>
      </c>
      <c r="E99" s="39">
        <f>3.2*UnleadedBase+0.0001</f>
        <v>7.2712119999999993</v>
      </c>
      <c r="F99" s="21">
        <f>3.3*UnleadedBase</f>
        <v>7.4983342499999992</v>
      </c>
      <c r="G99" s="22">
        <f>2.2*UnleadedBase</f>
        <v>4.9988894999999998</v>
      </c>
      <c r="H99" s="9"/>
      <c r="I99" s="9"/>
    </row>
    <row r="100" spans="1:9" x14ac:dyDescent="0.2">
      <c r="A100" s="9"/>
      <c r="B100" s="168"/>
      <c r="C100" s="50">
        <v>230</v>
      </c>
      <c r="D100" s="20">
        <v>240</v>
      </c>
      <c r="E100" s="39">
        <f>3.3*UnleadedBase+0.0001</f>
        <v>7.498434249999999</v>
      </c>
      <c r="F100" s="21">
        <f>3.4*UnleadedBase</f>
        <v>7.7255564999999988</v>
      </c>
      <c r="G100" s="22">
        <f>2.3*UnleadedBase</f>
        <v>5.2261117499999994</v>
      </c>
      <c r="H100" s="9"/>
      <c r="I100" s="9"/>
    </row>
    <row r="101" spans="1:9" x14ac:dyDescent="0.2">
      <c r="A101" s="9"/>
      <c r="B101" s="168"/>
      <c r="C101" s="50">
        <v>240</v>
      </c>
      <c r="D101" s="20">
        <v>250</v>
      </c>
      <c r="E101" s="39">
        <f>3.4*UnleadedBase+0.0001</f>
        <v>7.7256564999999986</v>
      </c>
      <c r="F101" s="21">
        <f>3.5*UnleadedBase</f>
        <v>7.9527787499999993</v>
      </c>
      <c r="G101" s="22">
        <f>2.4*UnleadedBase</f>
        <v>5.453333999999999</v>
      </c>
      <c r="H101" s="9"/>
      <c r="I101" s="9"/>
    </row>
    <row r="102" spans="1:9" x14ac:dyDescent="0.2">
      <c r="A102" s="9"/>
      <c r="B102" s="168"/>
      <c r="C102" s="50">
        <v>250</v>
      </c>
      <c r="D102" s="20">
        <v>260</v>
      </c>
      <c r="E102" s="39">
        <f>3.5*UnleadedBase+0.0001</f>
        <v>7.9528787499999991</v>
      </c>
      <c r="F102" s="21">
        <f>3.6*UnleadedBase</f>
        <v>8.180000999999999</v>
      </c>
      <c r="G102" s="22">
        <f>2.5*UnleadedBase</f>
        <v>5.6805562499999995</v>
      </c>
      <c r="H102" s="9"/>
      <c r="I102" s="9"/>
    </row>
    <row r="103" spans="1:9" x14ac:dyDescent="0.2">
      <c r="A103" s="9"/>
      <c r="B103" s="168"/>
      <c r="C103" s="50">
        <v>260</v>
      </c>
      <c r="D103" s="20">
        <v>270</v>
      </c>
      <c r="E103" s="39">
        <f>3.6*UnleadedBase+0.0001</f>
        <v>8.1801009999999987</v>
      </c>
      <c r="F103" s="21">
        <f>3.7*UnleadedBase</f>
        <v>8.4072232499999995</v>
      </c>
      <c r="G103" s="22">
        <f>2.6*UnleadedBase</f>
        <v>5.9077785</v>
      </c>
      <c r="H103" s="9"/>
      <c r="I103" s="9"/>
    </row>
    <row r="104" spans="1:9" x14ac:dyDescent="0.2">
      <c r="A104" s="9"/>
      <c r="B104" s="168"/>
      <c r="C104" s="50">
        <v>270</v>
      </c>
      <c r="D104" s="20">
        <v>280</v>
      </c>
      <c r="E104" s="39">
        <f>3.7*UnleadedBase+0.0001</f>
        <v>8.4073232499999992</v>
      </c>
      <c r="F104" s="21">
        <f>3.8*UnleadedBase</f>
        <v>8.6344454999999982</v>
      </c>
      <c r="G104" s="22">
        <f>2.7*UnleadedBase</f>
        <v>6.1350007499999997</v>
      </c>
      <c r="H104" s="9"/>
      <c r="I104" s="9"/>
    </row>
    <row r="105" spans="1:9" x14ac:dyDescent="0.2">
      <c r="A105" s="9"/>
      <c r="B105" s="168"/>
      <c r="C105" s="50">
        <v>280</v>
      </c>
      <c r="D105" s="20">
        <v>290</v>
      </c>
      <c r="E105" s="39">
        <f>3.8*UnleadedBase+0.0001</f>
        <v>8.634545499999998</v>
      </c>
      <c r="F105" s="21">
        <f>3.9*UnleadedBase</f>
        <v>8.8616677499999987</v>
      </c>
      <c r="G105" s="22">
        <f>2.8*UnleadedBase</f>
        <v>6.3622229999999993</v>
      </c>
      <c r="H105" s="9"/>
      <c r="I105" s="9"/>
    </row>
    <row r="106" spans="1:9" ht="13.5" thickBot="1" x14ac:dyDescent="0.25">
      <c r="A106" s="9"/>
      <c r="B106" s="171"/>
      <c r="C106" s="53">
        <v>290</v>
      </c>
      <c r="D106" s="23">
        <v>300</v>
      </c>
      <c r="E106" s="54">
        <f>3.9*UnleadedBase+0.0001</f>
        <v>8.8617677499999985</v>
      </c>
      <c r="F106" s="24">
        <f>4*UnleadedBase</f>
        <v>9.0888899999999992</v>
      </c>
      <c r="G106" s="25">
        <f>2.9*UnleadedBase</f>
        <v>6.5894452499999989</v>
      </c>
      <c r="H106" s="9"/>
      <c r="I106" s="9"/>
    </row>
    <row r="107" spans="1:9" x14ac:dyDescent="0.2">
      <c r="A107" s="9"/>
      <c r="B107" s="26"/>
      <c r="C107" s="27"/>
      <c r="D107" s="27"/>
      <c r="E107" s="28"/>
      <c r="F107" s="28"/>
      <c r="G107" s="28"/>
      <c r="H107" s="9"/>
      <c r="I107" s="9"/>
    </row>
    <row r="108" spans="1:9" x14ac:dyDescent="0.2">
      <c r="A108" s="9"/>
      <c r="B108" s="26"/>
      <c r="C108" s="27"/>
      <c r="D108" s="27"/>
      <c r="E108" s="28"/>
      <c r="F108" s="28"/>
      <c r="G108" s="28"/>
      <c r="H108" s="9"/>
      <c r="I108" s="9"/>
    </row>
    <row r="109" spans="1:9" x14ac:dyDescent="0.2">
      <c r="A109" s="9"/>
      <c r="B109" s="26"/>
      <c r="C109" s="27"/>
      <c r="D109" s="27"/>
      <c r="E109" s="28"/>
      <c r="F109" s="28"/>
      <c r="G109" s="28"/>
      <c r="H109" s="9"/>
      <c r="I109" s="9"/>
    </row>
    <row r="110" spans="1:9" x14ac:dyDescent="0.2">
      <c r="A110" s="9"/>
      <c r="B110" s="26"/>
      <c r="C110" s="27"/>
      <c r="D110" s="27"/>
      <c r="E110" s="28"/>
      <c r="F110" s="28"/>
      <c r="G110" s="28"/>
      <c r="H110" s="9"/>
      <c r="I110" s="9"/>
    </row>
  </sheetData>
  <sheetProtection password="808D" sheet="1" objects="1" scenarios="1"/>
  <mergeCells count="12">
    <mergeCell ref="B3:G3"/>
    <mergeCell ref="C5:D5"/>
    <mergeCell ref="C6:D6"/>
    <mergeCell ref="C7:D7"/>
    <mergeCell ref="C61:D61"/>
    <mergeCell ref="B67:B76"/>
    <mergeCell ref="B77:B106"/>
    <mergeCell ref="B12:B21"/>
    <mergeCell ref="B22:B51"/>
    <mergeCell ref="B58:G58"/>
    <mergeCell ref="C60:D60"/>
    <mergeCell ref="C62:D62"/>
  </mergeCells>
  <phoneticPr fontId="0" type="noConversion"/>
  <conditionalFormatting sqref="G12:G51">
    <cfRule type="cellIs" dxfId="2" priority="1" stopIfTrue="1" operator="equal">
      <formula>$E$7</formula>
    </cfRule>
  </conditionalFormatting>
  <conditionalFormatting sqref="G67:G106">
    <cfRule type="cellIs" dxfId="1" priority="2" stopIfTrue="1" operator="equal">
      <formula>$E$62</formula>
    </cfRule>
  </conditionalFormatting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108"/>
  <sheetViews>
    <sheetView workbookViewId="0">
      <selection activeCell="I25" sqref="I25"/>
    </sheetView>
  </sheetViews>
  <sheetFormatPr defaultRowHeight="12.75" x14ac:dyDescent="0.2"/>
  <cols>
    <col min="3" max="4" width="9.7109375" customWidth="1"/>
    <col min="5" max="7" width="11.7109375" customWidth="1"/>
  </cols>
  <sheetData>
    <row r="1" spans="1:8" ht="24.75" customHeight="1" thickBot="1" x14ac:dyDescent="0.25">
      <c r="A1" s="9"/>
      <c r="B1" s="10"/>
      <c r="C1" s="10"/>
      <c r="D1" s="10"/>
      <c r="E1" s="10"/>
      <c r="F1" s="10"/>
      <c r="G1" s="10"/>
      <c r="H1" s="9"/>
    </row>
    <row r="2" spans="1:8" ht="15.75" x14ac:dyDescent="0.25">
      <c r="A2" s="9"/>
      <c r="B2" s="190" t="s">
        <v>56</v>
      </c>
      <c r="C2" s="191"/>
      <c r="D2" s="191"/>
      <c r="E2" s="191"/>
      <c r="F2" s="191"/>
      <c r="G2" s="192"/>
      <c r="H2" s="9"/>
    </row>
    <row r="3" spans="1:8" x14ac:dyDescent="0.2">
      <c r="A3" s="9"/>
      <c r="B3" s="11"/>
      <c r="C3" s="12"/>
      <c r="D3" s="12"/>
      <c r="E3" s="12"/>
      <c r="F3" s="12"/>
      <c r="G3" s="13"/>
      <c r="H3" s="9"/>
    </row>
    <row r="4" spans="1:8" x14ac:dyDescent="0.2">
      <c r="A4" s="9"/>
      <c r="B4" s="11"/>
      <c r="C4" s="177" t="s">
        <v>50</v>
      </c>
      <c r="D4" s="178"/>
      <c r="E4" s="29">
        <f>AsphaltBinderBase</f>
        <v>583.36</v>
      </c>
      <c r="F4" s="12"/>
      <c r="G4" s="13"/>
      <c r="H4" s="9"/>
    </row>
    <row r="5" spans="1:8" x14ac:dyDescent="0.2">
      <c r="A5" s="9"/>
      <c r="B5" s="11"/>
      <c r="C5" s="181" t="s">
        <v>51</v>
      </c>
      <c r="D5" s="182"/>
      <c r="E5" s="29">
        <f>AsphaltBinderCurrent</f>
        <v>583.36</v>
      </c>
      <c r="F5" s="12"/>
      <c r="G5" s="13"/>
      <c r="H5" s="9"/>
    </row>
    <row r="6" spans="1:8" x14ac:dyDescent="0.2">
      <c r="A6" s="9"/>
      <c r="B6" s="11"/>
      <c r="C6" s="179" t="s">
        <v>52</v>
      </c>
      <c r="D6" s="180"/>
      <c r="E6" s="30">
        <f>VLOOKUP(E5,E11:G105,3)</f>
        <v>0</v>
      </c>
      <c r="F6" s="12"/>
      <c r="G6" s="13"/>
      <c r="H6" s="9"/>
    </row>
    <row r="7" spans="1:8" x14ac:dyDescent="0.2">
      <c r="A7" s="9"/>
      <c r="B7" s="11"/>
      <c r="C7" s="12"/>
      <c r="D7" s="12"/>
      <c r="E7" s="12"/>
      <c r="F7" s="12"/>
      <c r="G7" s="13"/>
      <c r="H7" s="9"/>
    </row>
    <row r="8" spans="1:8" x14ac:dyDescent="0.2">
      <c r="A8" s="9"/>
      <c r="B8" s="11"/>
      <c r="C8" s="12"/>
      <c r="D8" s="12"/>
      <c r="E8" s="12"/>
      <c r="F8" s="12"/>
      <c r="G8" s="13"/>
      <c r="H8" s="9"/>
    </row>
    <row r="9" spans="1:8" x14ac:dyDescent="0.2">
      <c r="A9" s="9"/>
      <c r="B9" s="11"/>
      <c r="C9" s="12"/>
      <c r="D9" s="12"/>
      <c r="E9" s="12"/>
      <c r="F9" s="12"/>
      <c r="G9" s="13"/>
      <c r="H9" s="9"/>
    </row>
    <row r="10" spans="1:8" x14ac:dyDescent="0.2">
      <c r="A10" s="9"/>
      <c r="B10" s="11"/>
      <c r="C10" s="12"/>
      <c r="D10" s="12"/>
      <c r="E10" s="12"/>
      <c r="F10" s="12"/>
      <c r="G10" s="13"/>
      <c r="H10" s="9"/>
    </row>
    <row r="11" spans="1:8" x14ac:dyDescent="0.2">
      <c r="A11" s="9"/>
      <c r="B11" s="187" t="s">
        <v>53</v>
      </c>
      <c r="C11" s="52">
        <v>95</v>
      </c>
      <c r="D11" s="45">
        <v>100</v>
      </c>
      <c r="E11" s="64">
        <f>0*AsphaltBinderBase</f>
        <v>0</v>
      </c>
      <c r="F11" s="64">
        <f>0.05*AsphaltBinderBase-0.01</f>
        <v>29.158000000000001</v>
      </c>
      <c r="G11" s="66">
        <f>-0.95*AsphaltBinderBase</f>
        <v>-554.19200000000001</v>
      </c>
      <c r="H11" s="9"/>
    </row>
    <row r="12" spans="1:8" x14ac:dyDescent="0.2">
      <c r="A12" s="9"/>
      <c r="B12" s="188"/>
      <c r="C12" s="50">
        <v>90</v>
      </c>
      <c r="D12" s="20">
        <v>95</v>
      </c>
      <c r="E12" s="31">
        <f>0.05*AsphaltBinderBase</f>
        <v>29.168000000000003</v>
      </c>
      <c r="F12" s="31">
        <f>0.1*AsphaltBinderBase-0.01</f>
        <v>58.326000000000008</v>
      </c>
      <c r="G12" s="68">
        <f>-0.9*AsphaltBinderBase</f>
        <v>-525.024</v>
      </c>
      <c r="H12" s="9"/>
    </row>
    <row r="13" spans="1:8" x14ac:dyDescent="0.2">
      <c r="A13" s="9"/>
      <c r="B13" s="188"/>
      <c r="C13" s="50">
        <v>85</v>
      </c>
      <c r="D13" s="20">
        <v>90</v>
      </c>
      <c r="E13" s="31">
        <f>0.1*AsphaltBinderBase</f>
        <v>58.336000000000006</v>
      </c>
      <c r="F13" s="31">
        <f>0.15*AsphaltBinderBase-0.01</f>
        <v>87.494</v>
      </c>
      <c r="G13" s="68">
        <f>-0.85*AsphaltBinderBase</f>
        <v>-495.85599999999999</v>
      </c>
      <c r="H13" s="9"/>
    </row>
    <row r="14" spans="1:8" x14ac:dyDescent="0.2">
      <c r="A14" s="9"/>
      <c r="B14" s="188"/>
      <c r="C14" s="50">
        <v>80</v>
      </c>
      <c r="D14" s="20">
        <v>85</v>
      </c>
      <c r="E14" s="31">
        <f>0.15*AsphaltBinderBase</f>
        <v>87.504000000000005</v>
      </c>
      <c r="F14" s="31">
        <f>0.2*AsphaltBinderBase-0.01</f>
        <v>116.66200000000001</v>
      </c>
      <c r="G14" s="68">
        <f>-0.8*AsphaltBinderBase</f>
        <v>-466.68800000000005</v>
      </c>
      <c r="H14" s="9"/>
    </row>
    <row r="15" spans="1:8" x14ac:dyDescent="0.2">
      <c r="A15" s="9"/>
      <c r="B15" s="188"/>
      <c r="C15" s="50">
        <v>75</v>
      </c>
      <c r="D15" s="20">
        <v>80</v>
      </c>
      <c r="E15" s="31">
        <f>0.2*AsphaltBinderBase</f>
        <v>116.67200000000001</v>
      </c>
      <c r="F15" s="31">
        <f>0.25*AsphaltBinderBase-0.01</f>
        <v>145.83000000000001</v>
      </c>
      <c r="G15" s="68">
        <f>-0.75*AsphaltBinderBase</f>
        <v>-437.52</v>
      </c>
      <c r="H15" s="9"/>
    </row>
    <row r="16" spans="1:8" x14ac:dyDescent="0.2">
      <c r="A16" s="9"/>
      <c r="B16" s="188"/>
      <c r="C16" s="50">
        <v>70</v>
      </c>
      <c r="D16" s="20">
        <v>75</v>
      </c>
      <c r="E16" s="31">
        <f>0.25*AsphaltBinderBase</f>
        <v>145.84</v>
      </c>
      <c r="F16" s="31">
        <f>0.3*AsphaltBinderBase-0.01</f>
        <v>174.99800000000002</v>
      </c>
      <c r="G16" s="68">
        <f>-0.7*AsphaltBinderBase</f>
        <v>-408.35199999999998</v>
      </c>
      <c r="H16" s="9"/>
    </row>
    <row r="17" spans="1:8" x14ac:dyDescent="0.2">
      <c r="A17" s="9"/>
      <c r="B17" s="188"/>
      <c r="C17" s="50">
        <v>65</v>
      </c>
      <c r="D17" s="20">
        <v>70</v>
      </c>
      <c r="E17" s="31">
        <f>0.3*AsphaltBinderBase</f>
        <v>175.00800000000001</v>
      </c>
      <c r="F17" s="31">
        <f>0.35*AsphaltBinderBase-0.01</f>
        <v>204.166</v>
      </c>
      <c r="G17" s="68">
        <f>-0.65*AsphaltBinderBase</f>
        <v>-379.18400000000003</v>
      </c>
      <c r="H17" s="9"/>
    </row>
    <row r="18" spans="1:8" x14ac:dyDescent="0.2">
      <c r="A18" s="9"/>
      <c r="B18" s="188"/>
      <c r="C18" s="50">
        <v>60</v>
      </c>
      <c r="D18" s="20">
        <v>65</v>
      </c>
      <c r="E18" s="31">
        <f>0.35*AsphaltBinderBase</f>
        <v>204.17599999999999</v>
      </c>
      <c r="F18" s="31">
        <f>0.4*AsphaltBinderBase-0.01</f>
        <v>233.33400000000003</v>
      </c>
      <c r="G18" s="68">
        <f>-0.6*AsphaltBinderBase</f>
        <v>-350.01600000000002</v>
      </c>
      <c r="H18" s="9"/>
    </row>
    <row r="19" spans="1:8" x14ac:dyDescent="0.2">
      <c r="A19" s="9"/>
      <c r="B19" s="188"/>
      <c r="C19" s="50">
        <v>55</v>
      </c>
      <c r="D19" s="20">
        <v>60</v>
      </c>
      <c r="E19" s="31">
        <f>0.4*AsphaltBinderBase</f>
        <v>233.34400000000002</v>
      </c>
      <c r="F19" s="31">
        <f>0.45*AsphaltBinderBase-0.01</f>
        <v>262.50200000000001</v>
      </c>
      <c r="G19" s="68">
        <f>-0.55*AsphaltBinderBase</f>
        <v>-320.84800000000001</v>
      </c>
      <c r="H19" s="9"/>
    </row>
    <row r="20" spans="1:8" x14ac:dyDescent="0.2">
      <c r="A20" s="9"/>
      <c r="B20" s="188"/>
      <c r="C20" s="50">
        <v>50</v>
      </c>
      <c r="D20" s="20">
        <v>55</v>
      </c>
      <c r="E20" s="31">
        <f>0.45*AsphaltBinderBase</f>
        <v>262.512</v>
      </c>
      <c r="F20" s="31">
        <f>0.5*AsphaltBinderBase-0.01</f>
        <v>291.67</v>
      </c>
      <c r="G20" s="68">
        <f>-0.5*AsphaltBinderBase</f>
        <v>-291.68</v>
      </c>
      <c r="H20" s="9"/>
    </row>
    <row r="21" spans="1:8" x14ac:dyDescent="0.2">
      <c r="A21" s="9"/>
      <c r="B21" s="188"/>
      <c r="C21" s="50">
        <v>45</v>
      </c>
      <c r="D21" s="20">
        <v>50</v>
      </c>
      <c r="E21" s="31">
        <f>0.5*AsphaltBinderBase</f>
        <v>291.68</v>
      </c>
      <c r="F21" s="31">
        <f>0.55*AsphaltBinderBase-0.01</f>
        <v>320.83800000000002</v>
      </c>
      <c r="G21" s="68">
        <f>-0.45*AsphaltBinderBase</f>
        <v>-262.512</v>
      </c>
      <c r="H21" s="9"/>
    </row>
    <row r="22" spans="1:8" x14ac:dyDescent="0.2">
      <c r="A22" s="9"/>
      <c r="B22" s="188"/>
      <c r="C22" s="50">
        <v>40</v>
      </c>
      <c r="D22" s="20">
        <v>45</v>
      </c>
      <c r="E22" s="31">
        <f>0.55*AsphaltBinderBase</f>
        <v>320.84800000000001</v>
      </c>
      <c r="F22" s="31">
        <f>0.6*AsphaltBinderBase-0.01</f>
        <v>350.00600000000003</v>
      </c>
      <c r="G22" s="68">
        <f>-0.4*AsphaltBinderBase</f>
        <v>-233.34400000000002</v>
      </c>
      <c r="H22" s="9"/>
    </row>
    <row r="23" spans="1:8" x14ac:dyDescent="0.2">
      <c r="A23" s="9"/>
      <c r="B23" s="188"/>
      <c r="C23" s="50">
        <v>35</v>
      </c>
      <c r="D23" s="20">
        <v>40</v>
      </c>
      <c r="E23" s="31">
        <f>0.6*AsphaltBinderBase</f>
        <v>350.01600000000002</v>
      </c>
      <c r="F23" s="31">
        <f>0.65*AsphaltBinderBase-0.01</f>
        <v>379.17400000000004</v>
      </c>
      <c r="G23" s="68">
        <f>-0.35*AsphaltBinderBase</f>
        <v>-204.17599999999999</v>
      </c>
      <c r="H23" s="9"/>
    </row>
    <row r="24" spans="1:8" x14ac:dyDescent="0.2">
      <c r="A24" s="9"/>
      <c r="B24" s="188"/>
      <c r="C24" s="50">
        <v>30</v>
      </c>
      <c r="D24" s="20">
        <v>35</v>
      </c>
      <c r="E24" s="31">
        <f>0.65*AsphaltBinderBase</f>
        <v>379.18400000000003</v>
      </c>
      <c r="F24" s="31">
        <f>0.7*AsphaltBinderBase-0.01</f>
        <v>408.34199999999998</v>
      </c>
      <c r="G24" s="68">
        <f>-0.3*AsphaltBinderBase</f>
        <v>-175.00800000000001</v>
      </c>
      <c r="H24" s="9"/>
    </row>
    <row r="25" spans="1:8" x14ac:dyDescent="0.2">
      <c r="A25" s="9"/>
      <c r="B25" s="188"/>
      <c r="C25" s="50">
        <v>25</v>
      </c>
      <c r="D25" s="20">
        <v>30</v>
      </c>
      <c r="E25" s="31">
        <f>0.7*AsphaltBinderBase</f>
        <v>408.35199999999998</v>
      </c>
      <c r="F25" s="31">
        <f>0.75*AsphaltBinderBase-0.01</f>
        <v>437.51</v>
      </c>
      <c r="G25" s="68">
        <f>-0.25*AsphaltBinderBase</f>
        <v>-145.84</v>
      </c>
      <c r="H25" s="9"/>
    </row>
    <row r="26" spans="1:8" x14ac:dyDescent="0.2">
      <c r="A26" s="9"/>
      <c r="B26" s="188"/>
      <c r="C26" s="50">
        <v>20</v>
      </c>
      <c r="D26" s="20">
        <v>25</v>
      </c>
      <c r="E26" s="31">
        <f>0.75*AsphaltBinderBase</f>
        <v>437.52</v>
      </c>
      <c r="F26" s="31">
        <f>0.8*AsphaltBinderBase-0.01</f>
        <v>466.67800000000005</v>
      </c>
      <c r="G26" s="68">
        <f>-0.2*AsphaltBinderBase</f>
        <v>-116.67200000000001</v>
      </c>
      <c r="H26" s="9"/>
    </row>
    <row r="27" spans="1:8" x14ac:dyDescent="0.2">
      <c r="A27" s="9"/>
      <c r="B27" s="188"/>
      <c r="C27" s="50">
        <v>15</v>
      </c>
      <c r="D27" s="20">
        <v>20</v>
      </c>
      <c r="E27" s="31">
        <f>0.8*AsphaltBinderBase</f>
        <v>466.68800000000005</v>
      </c>
      <c r="F27" s="31">
        <f>0.85*AsphaltBinderBase-0.01</f>
        <v>495.846</v>
      </c>
      <c r="G27" s="68">
        <f>-0.15*AsphaltBinderBase</f>
        <v>-87.504000000000005</v>
      </c>
      <c r="H27" s="9"/>
    </row>
    <row r="28" spans="1:8" x14ac:dyDescent="0.2">
      <c r="A28" s="9"/>
      <c r="B28" s="188"/>
      <c r="C28" s="50">
        <v>10</v>
      </c>
      <c r="D28" s="20">
        <v>15</v>
      </c>
      <c r="E28" s="31">
        <f>0.85*AsphaltBinderBase</f>
        <v>495.85599999999999</v>
      </c>
      <c r="F28" s="31">
        <f>0.9*AsphaltBinderBase-0.01</f>
        <v>525.01400000000001</v>
      </c>
      <c r="G28" s="68">
        <f>-0.1*AsphaltBinderBase</f>
        <v>-58.336000000000006</v>
      </c>
      <c r="H28" s="9"/>
    </row>
    <row r="29" spans="1:8" x14ac:dyDescent="0.2">
      <c r="A29" s="9"/>
      <c r="B29" s="188"/>
      <c r="C29" s="50">
        <v>5</v>
      </c>
      <c r="D29" s="20">
        <v>10</v>
      </c>
      <c r="E29" s="31">
        <f>0.9*AsphaltBinderBase</f>
        <v>525.024</v>
      </c>
      <c r="F29" s="31">
        <f>0.95*AsphaltBinderBase-0.01</f>
        <v>554.18200000000002</v>
      </c>
      <c r="G29" s="68">
        <f>-0.05*AsphaltBinderBase</f>
        <v>-29.168000000000003</v>
      </c>
      <c r="H29" s="9"/>
    </row>
    <row r="30" spans="1:8" x14ac:dyDescent="0.2">
      <c r="A30" s="9"/>
      <c r="B30" s="189"/>
      <c r="C30" s="57">
        <v>0</v>
      </c>
      <c r="D30" s="56">
        <v>5</v>
      </c>
      <c r="E30" s="59">
        <f>0.95*AsphaltBinderBase</f>
        <v>554.19200000000001</v>
      </c>
      <c r="F30" s="59">
        <f>1*AsphaltBinderBase-0.01</f>
        <v>583.35</v>
      </c>
      <c r="G30" s="70">
        <f>0*AsphaltBinderBase</f>
        <v>0</v>
      </c>
      <c r="H30" s="9"/>
    </row>
    <row r="31" spans="1:8" x14ac:dyDescent="0.2">
      <c r="A31" s="9"/>
      <c r="B31" s="183" t="s">
        <v>54</v>
      </c>
      <c r="C31" s="63">
        <v>0</v>
      </c>
      <c r="D31" s="45">
        <v>5</v>
      </c>
      <c r="E31" s="64">
        <f>1*AsphaltBinderBase</f>
        <v>583.36</v>
      </c>
      <c r="F31" s="64">
        <f>1.05*AsphaltBinderBase</f>
        <v>612.52800000000002</v>
      </c>
      <c r="G31" s="66">
        <f>0*AsphaltBinderBase</f>
        <v>0</v>
      </c>
      <c r="H31" s="9"/>
    </row>
    <row r="32" spans="1:8" x14ac:dyDescent="0.2">
      <c r="A32" s="9"/>
      <c r="B32" s="184"/>
      <c r="C32" s="65">
        <v>5</v>
      </c>
      <c r="D32" s="20">
        <v>10</v>
      </c>
      <c r="E32" s="31">
        <f>1.05*AsphaltBinderBase+0.01</f>
        <v>612.53800000000001</v>
      </c>
      <c r="F32" s="31">
        <f>1.1*AsphaltBinderBase</f>
        <v>641.69600000000003</v>
      </c>
      <c r="G32" s="67">
        <f>0.05*AsphaltBinderBase</f>
        <v>29.168000000000003</v>
      </c>
      <c r="H32" s="9"/>
    </row>
    <row r="33" spans="1:8" x14ac:dyDescent="0.2">
      <c r="A33" s="9"/>
      <c r="B33" s="184"/>
      <c r="C33" s="65">
        <v>10</v>
      </c>
      <c r="D33" s="20">
        <v>15</v>
      </c>
      <c r="E33" s="31">
        <f>1.1*AsphaltBinderBase+0.01</f>
        <v>641.70600000000002</v>
      </c>
      <c r="F33" s="31">
        <f>1.15*AsphaltBinderBase</f>
        <v>670.86399999999992</v>
      </c>
      <c r="G33" s="68">
        <f>0.1*AsphaltBinderBase</f>
        <v>58.336000000000006</v>
      </c>
      <c r="H33" s="9"/>
    </row>
    <row r="34" spans="1:8" x14ac:dyDescent="0.2">
      <c r="A34" s="9"/>
      <c r="B34" s="184"/>
      <c r="C34" s="65">
        <v>15</v>
      </c>
      <c r="D34" s="20">
        <v>20</v>
      </c>
      <c r="E34" s="31">
        <f>1.15*AsphaltBinderBase+0.01</f>
        <v>670.87399999999991</v>
      </c>
      <c r="F34" s="31">
        <f>1.2*AsphaltBinderBase</f>
        <v>700.03200000000004</v>
      </c>
      <c r="G34" s="67">
        <f>0.15*AsphaltBinderBase</f>
        <v>87.504000000000005</v>
      </c>
      <c r="H34" s="9"/>
    </row>
    <row r="35" spans="1:8" x14ac:dyDescent="0.2">
      <c r="A35" s="9"/>
      <c r="B35" s="184"/>
      <c r="C35" s="65">
        <v>20</v>
      </c>
      <c r="D35" s="20">
        <v>25</v>
      </c>
      <c r="E35" s="31">
        <f>1.2*AsphaltBinderBase+0.01</f>
        <v>700.04200000000003</v>
      </c>
      <c r="F35" s="31">
        <f>1.25*AsphaltBinderBase</f>
        <v>729.2</v>
      </c>
      <c r="G35" s="68">
        <f>0.2*AsphaltBinderBase</f>
        <v>116.67200000000001</v>
      </c>
      <c r="H35" s="9"/>
    </row>
    <row r="36" spans="1:8" x14ac:dyDescent="0.2">
      <c r="A36" s="9"/>
      <c r="B36" s="184"/>
      <c r="C36" s="65">
        <v>25</v>
      </c>
      <c r="D36" s="20">
        <v>30</v>
      </c>
      <c r="E36" s="31">
        <f>1.25*AsphaltBinderBase+0.01</f>
        <v>729.21</v>
      </c>
      <c r="F36" s="31">
        <f>1.3*AsphaltBinderBase</f>
        <v>758.36800000000005</v>
      </c>
      <c r="G36" s="67">
        <f>0.25*AsphaltBinderBase</f>
        <v>145.84</v>
      </c>
      <c r="H36" s="9"/>
    </row>
    <row r="37" spans="1:8" x14ac:dyDescent="0.2">
      <c r="A37" s="9"/>
      <c r="B37" s="184"/>
      <c r="C37" s="65">
        <v>30</v>
      </c>
      <c r="D37" s="20">
        <v>35</v>
      </c>
      <c r="E37" s="31">
        <f>1.3*AsphaltBinderBase+0.01</f>
        <v>758.37800000000004</v>
      </c>
      <c r="F37" s="31">
        <f>1.35*AsphaltBinderBase</f>
        <v>787.53600000000006</v>
      </c>
      <c r="G37" s="68">
        <f>0.3*AsphaltBinderBase</f>
        <v>175.00800000000001</v>
      </c>
      <c r="H37" s="9"/>
    </row>
    <row r="38" spans="1:8" x14ac:dyDescent="0.2">
      <c r="A38" s="9"/>
      <c r="B38" s="184"/>
      <c r="C38" s="65">
        <v>35</v>
      </c>
      <c r="D38" s="20">
        <v>40</v>
      </c>
      <c r="E38" s="31">
        <f>1.35*AsphaltBinderBase+0.01</f>
        <v>787.54600000000005</v>
      </c>
      <c r="F38" s="31">
        <f>1.4*AsphaltBinderBase</f>
        <v>816.70399999999995</v>
      </c>
      <c r="G38" s="67">
        <f>0.35*AsphaltBinderBase</f>
        <v>204.17599999999999</v>
      </c>
      <c r="H38" s="9"/>
    </row>
    <row r="39" spans="1:8" x14ac:dyDescent="0.2">
      <c r="A39" s="9"/>
      <c r="B39" s="184"/>
      <c r="C39" s="65">
        <v>40</v>
      </c>
      <c r="D39" s="20">
        <v>45</v>
      </c>
      <c r="E39" s="31">
        <f>1.4*AsphaltBinderBase+0.01</f>
        <v>816.71399999999994</v>
      </c>
      <c r="F39" s="31">
        <f>1.45*AsphaltBinderBase</f>
        <v>845.87199999999996</v>
      </c>
      <c r="G39" s="68">
        <f>0.4*AsphaltBinderBase</f>
        <v>233.34400000000002</v>
      </c>
      <c r="H39" s="9"/>
    </row>
    <row r="40" spans="1:8" x14ac:dyDescent="0.2">
      <c r="A40" s="9"/>
      <c r="B40" s="184"/>
      <c r="C40" s="65">
        <v>45</v>
      </c>
      <c r="D40" s="20">
        <v>50</v>
      </c>
      <c r="E40" s="31">
        <f>1.45*AsphaltBinderBase+0.01</f>
        <v>845.88199999999995</v>
      </c>
      <c r="F40" s="31">
        <f>1.5*AsphaltBinderBase</f>
        <v>875.04</v>
      </c>
      <c r="G40" s="67">
        <f>0.45*AsphaltBinderBase</f>
        <v>262.512</v>
      </c>
      <c r="H40" s="9"/>
    </row>
    <row r="41" spans="1:8" x14ac:dyDescent="0.2">
      <c r="A41" s="9"/>
      <c r="B41" s="184"/>
      <c r="C41" s="65">
        <v>50</v>
      </c>
      <c r="D41" s="20">
        <v>55</v>
      </c>
      <c r="E41" s="31">
        <f>1.5*AsphaltBinderBase+0.01</f>
        <v>875.05</v>
      </c>
      <c r="F41" s="31">
        <f>1.55*AsphaltBinderBase</f>
        <v>904.20800000000008</v>
      </c>
      <c r="G41" s="68">
        <f>0.5*AsphaltBinderBase</f>
        <v>291.68</v>
      </c>
      <c r="H41" s="9"/>
    </row>
    <row r="42" spans="1:8" x14ac:dyDescent="0.2">
      <c r="A42" s="9"/>
      <c r="B42" s="184"/>
      <c r="C42" s="65">
        <v>55</v>
      </c>
      <c r="D42" s="20">
        <v>60</v>
      </c>
      <c r="E42" s="31">
        <f>1.55*AsphaltBinderBase+0.01</f>
        <v>904.21800000000007</v>
      </c>
      <c r="F42" s="31">
        <f>1.6*AsphaltBinderBase</f>
        <v>933.37600000000009</v>
      </c>
      <c r="G42" s="67">
        <f>0.55*AsphaltBinderBase</f>
        <v>320.84800000000001</v>
      </c>
      <c r="H42" s="9"/>
    </row>
    <row r="43" spans="1:8" x14ac:dyDescent="0.2">
      <c r="A43" s="9"/>
      <c r="B43" s="184"/>
      <c r="C43" s="65">
        <v>60</v>
      </c>
      <c r="D43" s="20">
        <v>65</v>
      </c>
      <c r="E43" s="31">
        <f>1.6*AsphaltBinderBase+0.01</f>
        <v>933.38600000000008</v>
      </c>
      <c r="F43" s="31">
        <f>1.65*AsphaltBinderBase</f>
        <v>962.54399999999998</v>
      </c>
      <c r="G43" s="68">
        <f>0.6*AsphaltBinderBase</f>
        <v>350.01600000000002</v>
      </c>
      <c r="H43" s="9"/>
    </row>
    <row r="44" spans="1:8" x14ac:dyDescent="0.2">
      <c r="A44" s="9"/>
      <c r="B44" s="184"/>
      <c r="C44" s="65">
        <v>65</v>
      </c>
      <c r="D44" s="20">
        <v>70</v>
      </c>
      <c r="E44" s="31">
        <f>1.65*AsphaltBinderBase+0.01</f>
        <v>962.55399999999997</v>
      </c>
      <c r="F44" s="31">
        <f>1.7*AsphaltBinderBase</f>
        <v>991.71199999999999</v>
      </c>
      <c r="G44" s="67">
        <f>0.65*AsphaltBinderBase</f>
        <v>379.18400000000003</v>
      </c>
      <c r="H44" s="9"/>
    </row>
    <row r="45" spans="1:8" x14ac:dyDescent="0.2">
      <c r="A45" s="9"/>
      <c r="B45" s="184"/>
      <c r="C45" s="65">
        <v>70</v>
      </c>
      <c r="D45" s="20">
        <v>75</v>
      </c>
      <c r="E45" s="31">
        <f>1.7*AsphaltBinderBase+0.01</f>
        <v>991.72199999999998</v>
      </c>
      <c r="F45" s="31">
        <f>1.75*AsphaltBinderBase</f>
        <v>1020.88</v>
      </c>
      <c r="G45" s="68">
        <f>0.7*AsphaltBinderBase</f>
        <v>408.35199999999998</v>
      </c>
      <c r="H45" s="9"/>
    </row>
    <row r="46" spans="1:8" x14ac:dyDescent="0.2">
      <c r="A46" s="9"/>
      <c r="B46" s="184"/>
      <c r="C46" s="65">
        <v>75</v>
      </c>
      <c r="D46" s="20">
        <v>80</v>
      </c>
      <c r="E46" s="31">
        <f>1.75*AsphaltBinderBase+0.01</f>
        <v>1020.89</v>
      </c>
      <c r="F46" s="31">
        <f>1.8*AsphaltBinderBase</f>
        <v>1050.048</v>
      </c>
      <c r="G46" s="67">
        <f>0.75*AsphaltBinderBase</f>
        <v>437.52</v>
      </c>
      <c r="H46" s="9"/>
    </row>
    <row r="47" spans="1:8" x14ac:dyDescent="0.2">
      <c r="A47" s="9"/>
      <c r="B47" s="184"/>
      <c r="C47" s="65">
        <v>80</v>
      </c>
      <c r="D47" s="20">
        <v>85</v>
      </c>
      <c r="E47" s="31">
        <f>1.8*AsphaltBinderBase+0.01</f>
        <v>1050.058</v>
      </c>
      <c r="F47" s="31">
        <f>1.85*AsphaltBinderBase</f>
        <v>1079.2160000000001</v>
      </c>
      <c r="G47" s="68">
        <f>0.8*AsphaltBinderBase</f>
        <v>466.68800000000005</v>
      </c>
      <c r="H47" s="9"/>
    </row>
    <row r="48" spans="1:8" x14ac:dyDescent="0.2">
      <c r="A48" s="9"/>
      <c r="B48" s="184"/>
      <c r="C48" s="65">
        <v>85</v>
      </c>
      <c r="D48" s="20">
        <v>90</v>
      </c>
      <c r="E48" s="31">
        <f>1.85*AsphaltBinderBase+0.01</f>
        <v>1079.2260000000001</v>
      </c>
      <c r="F48" s="31">
        <f>1.9*AsphaltBinderBase</f>
        <v>1108.384</v>
      </c>
      <c r="G48" s="67">
        <f>0.85*AsphaltBinderBase</f>
        <v>495.85599999999999</v>
      </c>
      <c r="H48" s="9"/>
    </row>
    <row r="49" spans="1:8" x14ac:dyDescent="0.2">
      <c r="A49" s="9"/>
      <c r="B49" s="184"/>
      <c r="C49" s="65">
        <v>90</v>
      </c>
      <c r="D49" s="20">
        <v>95</v>
      </c>
      <c r="E49" s="31">
        <f>1.9*AsphaltBinderBase+0.01</f>
        <v>1108.394</v>
      </c>
      <c r="F49" s="31">
        <f>1.95*AsphaltBinderBase</f>
        <v>1137.5519999999999</v>
      </c>
      <c r="G49" s="68">
        <f>0.9*AsphaltBinderBase</f>
        <v>525.024</v>
      </c>
      <c r="H49" s="9"/>
    </row>
    <row r="50" spans="1:8" x14ac:dyDescent="0.2">
      <c r="A50" s="9"/>
      <c r="B50" s="184"/>
      <c r="C50" s="65">
        <v>95</v>
      </c>
      <c r="D50" s="20">
        <v>100</v>
      </c>
      <c r="E50" s="31">
        <f>1.95*AsphaltBinderBase+0.01</f>
        <v>1137.5619999999999</v>
      </c>
      <c r="F50" s="31">
        <f>2*AsphaltBinderBase</f>
        <v>1166.72</v>
      </c>
      <c r="G50" s="67">
        <f>0.95*AsphaltBinderBase</f>
        <v>554.19200000000001</v>
      </c>
      <c r="H50" s="9"/>
    </row>
    <row r="51" spans="1:8" x14ac:dyDescent="0.2">
      <c r="A51" s="9"/>
      <c r="B51" s="184"/>
      <c r="C51" s="65">
        <v>100</v>
      </c>
      <c r="D51" s="20">
        <v>105</v>
      </c>
      <c r="E51" s="31">
        <f>2*AsphaltBinderBase+0.01</f>
        <v>1166.73</v>
      </c>
      <c r="F51" s="31">
        <f>2.05*AsphaltBinderBase</f>
        <v>1195.8879999999999</v>
      </c>
      <c r="G51" s="68">
        <f>1*AsphaltBinderBase</f>
        <v>583.36</v>
      </c>
      <c r="H51" s="9"/>
    </row>
    <row r="52" spans="1:8" x14ac:dyDescent="0.2">
      <c r="A52" s="9"/>
      <c r="B52" s="184"/>
      <c r="C52" s="65">
        <v>105</v>
      </c>
      <c r="D52" s="20">
        <v>110</v>
      </c>
      <c r="E52" s="31">
        <f>2.05*AsphaltBinderBase+0.01</f>
        <v>1195.8979999999999</v>
      </c>
      <c r="F52" s="31">
        <f>2.1*AsphaltBinderBase</f>
        <v>1225.056</v>
      </c>
      <c r="G52" s="67">
        <f>1.05*AsphaltBinderBase</f>
        <v>612.52800000000002</v>
      </c>
      <c r="H52" s="9"/>
    </row>
    <row r="53" spans="1:8" x14ac:dyDescent="0.2">
      <c r="A53" s="9"/>
      <c r="B53" s="184"/>
      <c r="C53" s="65">
        <v>110</v>
      </c>
      <c r="D53" s="20">
        <v>115</v>
      </c>
      <c r="E53" s="31">
        <f>2.1*AsphaltBinderBase+0.01</f>
        <v>1225.066</v>
      </c>
      <c r="F53" s="31">
        <f>2.15*AsphaltBinderBase</f>
        <v>1254.2239999999999</v>
      </c>
      <c r="G53" s="68">
        <f>1.1*AsphaltBinderBase</f>
        <v>641.69600000000003</v>
      </c>
      <c r="H53" s="9"/>
    </row>
    <row r="54" spans="1:8" x14ac:dyDescent="0.2">
      <c r="A54" s="9"/>
      <c r="B54" s="184"/>
      <c r="C54" s="65">
        <v>115</v>
      </c>
      <c r="D54" s="20">
        <v>120</v>
      </c>
      <c r="E54" s="31">
        <f>2.15*AsphaltBinderBase+0.01</f>
        <v>1254.2339999999999</v>
      </c>
      <c r="F54" s="31">
        <f>2.2*AsphaltBinderBase</f>
        <v>1283.3920000000001</v>
      </c>
      <c r="G54" s="67">
        <f>1.15*AsphaltBinderBase</f>
        <v>670.86399999999992</v>
      </c>
      <c r="H54" s="9"/>
    </row>
    <row r="55" spans="1:8" x14ac:dyDescent="0.2">
      <c r="A55" s="9"/>
      <c r="B55" s="184"/>
      <c r="C55" s="65">
        <v>120</v>
      </c>
      <c r="D55" s="20">
        <v>125</v>
      </c>
      <c r="E55" s="31">
        <f>2.2*AsphaltBinderBase+0.01</f>
        <v>1283.402</v>
      </c>
      <c r="F55" s="31">
        <f>2.25*AsphaltBinderBase</f>
        <v>1312.56</v>
      </c>
      <c r="G55" s="68">
        <f>1.2*AsphaltBinderBase</f>
        <v>700.03200000000004</v>
      </c>
      <c r="H55" s="9"/>
    </row>
    <row r="56" spans="1:8" x14ac:dyDescent="0.2">
      <c r="A56" s="9"/>
      <c r="B56" s="184"/>
      <c r="C56" s="65">
        <v>125</v>
      </c>
      <c r="D56" s="20">
        <v>130</v>
      </c>
      <c r="E56" s="31">
        <f>2.25*AsphaltBinderBase+0.01</f>
        <v>1312.57</v>
      </c>
      <c r="F56" s="31">
        <f>2.3*AsphaltBinderBase</f>
        <v>1341.7279999999998</v>
      </c>
      <c r="G56" s="67">
        <f>1.25*AsphaltBinderBase</f>
        <v>729.2</v>
      </c>
      <c r="H56" s="9"/>
    </row>
    <row r="57" spans="1:8" x14ac:dyDescent="0.2">
      <c r="A57" s="9"/>
      <c r="B57" s="184"/>
      <c r="C57" s="65">
        <v>130</v>
      </c>
      <c r="D57" s="20">
        <v>135</v>
      </c>
      <c r="E57" s="31">
        <f>2.3*AsphaltBinderBase+0.01</f>
        <v>1341.7379999999998</v>
      </c>
      <c r="F57" s="31">
        <f>2.35*AsphaltBinderBase</f>
        <v>1370.8960000000002</v>
      </c>
      <c r="G57" s="68">
        <f>1.3*AsphaltBinderBase</f>
        <v>758.36800000000005</v>
      </c>
      <c r="H57" s="9"/>
    </row>
    <row r="58" spans="1:8" x14ac:dyDescent="0.2">
      <c r="A58" s="9"/>
      <c r="B58" s="184"/>
      <c r="C58" s="65">
        <v>135</v>
      </c>
      <c r="D58" s="20">
        <v>140</v>
      </c>
      <c r="E58" s="31">
        <f>2.35*AsphaltBinderBase+0.01</f>
        <v>1370.9060000000002</v>
      </c>
      <c r="F58" s="31">
        <f>2.4*AsphaltBinderBase</f>
        <v>1400.0640000000001</v>
      </c>
      <c r="G58" s="67">
        <f>1.35*AsphaltBinderBase</f>
        <v>787.53600000000006</v>
      </c>
      <c r="H58" s="9"/>
    </row>
    <row r="59" spans="1:8" x14ac:dyDescent="0.2">
      <c r="A59" s="9"/>
      <c r="B59" s="184"/>
      <c r="C59" s="65">
        <v>140</v>
      </c>
      <c r="D59" s="20">
        <v>145</v>
      </c>
      <c r="E59" s="31">
        <f>2.4*AsphaltBinderBase+0.01</f>
        <v>1400.0740000000001</v>
      </c>
      <c r="F59" s="31">
        <f>2.45*AsphaltBinderBase</f>
        <v>1429.2320000000002</v>
      </c>
      <c r="G59" s="68">
        <f>1.4*AsphaltBinderBase</f>
        <v>816.70399999999995</v>
      </c>
      <c r="H59" s="9"/>
    </row>
    <row r="60" spans="1:8" x14ac:dyDescent="0.2">
      <c r="A60" s="9"/>
      <c r="B60" s="184"/>
      <c r="C60" s="65">
        <v>145</v>
      </c>
      <c r="D60" s="20">
        <v>150</v>
      </c>
      <c r="E60" s="31">
        <f>2.45*AsphaltBinderBase+0.01</f>
        <v>1429.2420000000002</v>
      </c>
      <c r="F60" s="31">
        <f>2.5*AsphaltBinderBase</f>
        <v>1458.4</v>
      </c>
      <c r="G60" s="67">
        <f>1.45*AsphaltBinderBase</f>
        <v>845.87199999999996</v>
      </c>
      <c r="H60" s="9"/>
    </row>
    <row r="61" spans="1:8" x14ac:dyDescent="0.2">
      <c r="A61" s="9"/>
      <c r="B61" s="184"/>
      <c r="C61" s="65">
        <v>150</v>
      </c>
      <c r="D61" s="20">
        <v>155</v>
      </c>
      <c r="E61" s="31">
        <f>2.5*AsphaltBinderBase+0.01</f>
        <v>1458.41</v>
      </c>
      <c r="F61" s="31">
        <f>2.55*AsphaltBinderBase</f>
        <v>1487.568</v>
      </c>
      <c r="G61" s="68">
        <f>1.5*AsphaltBinderBase</f>
        <v>875.04</v>
      </c>
      <c r="H61" s="9"/>
    </row>
    <row r="62" spans="1:8" x14ac:dyDescent="0.2">
      <c r="A62" s="9"/>
      <c r="B62" s="184"/>
      <c r="C62" s="65">
        <v>155</v>
      </c>
      <c r="D62" s="20">
        <v>160</v>
      </c>
      <c r="E62" s="31">
        <f>2.55*AsphaltBinderBase+0.01</f>
        <v>1487.578</v>
      </c>
      <c r="F62" s="31">
        <f>2.6*AsphaltBinderBase</f>
        <v>1516.7360000000001</v>
      </c>
      <c r="G62" s="67">
        <f>1.55*AsphaltBinderBase</f>
        <v>904.20800000000008</v>
      </c>
      <c r="H62" s="9"/>
    </row>
    <row r="63" spans="1:8" x14ac:dyDescent="0.2">
      <c r="A63" s="9"/>
      <c r="B63" s="184"/>
      <c r="C63" s="65">
        <v>160</v>
      </c>
      <c r="D63" s="20">
        <v>165</v>
      </c>
      <c r="E63" s="31">
        <f>2.6*AsphaltBinderBase+0.01</f>
        <v>1516.7460000000001</v>
      </c>
      <c r="F63" s="31">
        <f>2.65*AsphaltBinderBase</f>
        <v>1545.904</v>
      </c>
      <c r="G63" s="68">
        <f>1.6*AsphaltBinderBase</f>
        <v>933.37600000000009</v>
      </c>
      <c r="H63" s="9"/>
    </row>
    <row r="64" spans="1:8" x14ac:dyDescent="0.2">
      <c r="A64" s="9"/>
      <c r="B64" s="184"/>
      <c r="C64" s="65">
        <v>165</v>
      </c>
      <c r="D64" s="20">
        <v>170</v>
      </c>
      <c r="E64" s="31">
        <f>2.65*AsphaltBinderBase+0.01</f>
        <v>1545.914</v>
      </c>
      <c r="F64" s="31">
        <f>2.7*AsphaltBinderBase</f>
        <v>1575.0720000000001</v>
      </c>
      <c r="G64" s="67">
        <f>1.65*AsphaltBinderBase</f>
        <v>962.54399999999998</v>
      </c>
      <c r="H64" s="9"/>
    </row>
    <row r="65" spans="1:8" x14ac:dyDescent="0.2">
      <c r="A65" s="9"/>
      <c r="B65" s="184"/>
      <c r="C65" s="65">
        <v>170</v>
      </c>
      <c r="D65" s="20">
        <v>175</v>
      </c>
      <c r="E65" s="31">
        <f>2.7*AsphaltBinderBase+0.01</f>
        <v>1575.0820000000001</v>
      </c>
      <c r="F65" s="31">
        <f>2.75*AsphaltBinderBase</f>
        <v>1604.24</v>
      </c>
      <c r="G65" s="68">
        <f>1.7*AsphaltBinderBase</f>
        <v>991.71199999999999</v>
      </c>
      <c r="H65" s="9"/>
    </row>
    <row r="66" spans="1:8" x14ac:dyDescent="0.2">
      <c r="A66" s="9"/>
      <c r="B66" s="184"/>
      <c r="C66" s="65">
        <v>175</v>
      </c>
      <c r="D66" s="20">
        <v>180</v>
      </c>
      <c r="E66" s="31">
        <f>2.75*AsphaltBinderBase+0.01</f>
        <v>1604.25</v>
      </c>
      <c r="F66" s="31">
        <f>2.8*AsphaltBinderBase</f>
        <v>1633.4079999999999</v>
      </c>
      <c r="G66" s="67">
        <f>1.75*AsphaltBinderBase</f>
        <v>1020.88</v>
      </c>
      <c r="H66" s="9"/>
    </row>
    <row r="67" spans="1:8" x14ac:dyDescent="0.2">
      <c r="A67" s="9"/>
      <c r="B67" s="184"/>
      <c r="C67" s="65">
        <v>180</v>
      </c>
      <c r="D67" s="20">
        <v>185</v>
      </c>
      <c r="E67" s="31">
        <f>2.8*AsphaltBinderBase+0.01</f>
        <v>1633.4179999999999</v>
      </c>
      <c r="F67" s="31">
        <f>2.85*AsphaltBinderBase</f>
        <v>1662.576</v>
      </c>
      <c r="G67" s="68">
        <f>1.8*AsphaltBinderBase</f>
        <v>1050.048</v>
      </c>
      <c r="H67" s="9"/>
    </row>
    <row r="68" spans="1:8" x14ac:dyDescent="0.2">
      <c r="A68" s="9"/>
      <c r="B68" s="184"/>
      <c r="C68" s="65">
        <v>185</v>
      </c>
      <c r="D68" s="20">
        <v>190</v>
      </c>
      <c r="E68" s="31">
        <f>2.85*AsphaltBinderBase+0.01</f>
        <v>1662.586</v>
      </c>
      <c r="F68" s="31">
        <f>2.9*AsphaltBinderBase</f>
        <v>1691.7439999999999</v>
      </c>
      <c r="G68" s="67">
        <f>1.85*AsphaltBinderBase</f>
        <v>1079.2160000000001</v>
      </c>
      <c r="H68" s="9"/>
    </row>
    <row r="69" spans="1:8" x14ac:dyDescent="0.2">
      <c r="A69" s="9"/>
      <c r="B69" s="184"/>
      <c r="C69" s="65">
        <v>190</v>
      </c>
      <c r="D69" s="20">
        <v>195</v>
      </c>
      <c r="E69" s="31">
        <f>2.9*AsphaltBinderBase+0.01</f>
        <v>1691.7539999999999</v>
      </c>
      <c r="F69" s="31">
        <f>2.95*AsphaltBinderBase</f>
        <v>1720.912</v>
      </c>
      <c r="G69" s="68">
        <f>1.9*AsphaltBinderBase</f>
        <v>1108.384</v>
      </c>
      <c r="H69" s="9"/>
    </row>
    <row r="70" spans="1:8" x14ac:dyDescent="0.2">
      <c r="A70" s="9"/>
      <c r="B70" s="184"/>
      <c r="C70" s="65">
        <v>195</v>
      </c>
      <c r="D70" s="20">
        <v>200</v>
      </c>
      <c r="E70" s="31">
        <f>2.95*AsphaltBinderBase+0.01</f>
        <v>1720.922</v>
      </c>
      <c r="F70" s="31">
        <f>3*AsphaltBinderBase</f>
        <v>1750.08</v>
      </c>
      <c r="G70" s="69">
        <f>1.95*AsphaltBinderBase</f>
        <v>1137.5519999999999</v>
      </c>
      <c r="H70" s="9"/>
    </row>
    <row r="71" spans="1:8" x14ac:dyDescent="0.2">
      <c r="A71" s="9"/>
      <c r="B71" s="185"/>
      <c r="C71" s="65">
        <v>200</v>
      </c>
      <c r="D71" s="20">
        <v>205</v>
      </c>
      <c r="E71" s="31">
        <f>3*AsphaltBinderBase+0.01</f>
        <v>1750.09</v>
      </c>
      <c r="F71" s="31">
        <f>3.05*AsphaltBinderBase</f>
        <v>1779.248</v>
      </c>
      <c r="G71" s="69">
        <f>2*AsphaltBinderBase</f>
        <v>1166.72</v>
      </c>
      <c r="H71" s="9"/>
    </row>
    <row r="72" spans="1:8" x14ac:dyDescent="0.2">
      <c r="A72" s="9"/>
      <c r="B72" s="185"/>
      <c r="C72" s="65">
        <v>205</v>
      </c>
      <c r="D72" s="20">
        <v>210</v>
      </c>
      <c r="E72" s="31">
        <f>3.05*AsphaltBinderBase+0.01</f>
        <v>1779.258</v>
      </c>
      <c r="F72" s="31">
        <f>3.1*AsphaltBinderBase</f>
        <v>1808.4160000000002</v>
      </c>
      <c r="G72" s="69">
        <f>2.05*AsphaltBinderBase</f>
        <v>1195.8879999999999</v>
      </c>
      <c r="H72" s="9"/>
    </row>
    <row r="73" spans="1:8" x14ac:dyDescent="0.2">
      <c r="A73" s="9"/>
      <c r="B73" s="185"/>
      <c r="C73" s="65">
        <v>210</v>
      </c>
      <c r="D73" s="20">
        <v>215</v>
      </c>
      <c r="E73" s="31">
        <f>3.1*AsphaltBinderBase+0.01</f>
        <v>1808.4260000000002</v>
      </c>
      <c r="F73" s="31">
        <f>3.15*AsphaltBinderBase</f>
        <v>1837.5840000000001</v>
      </c>
      <c r="G73" s="69">
        <f>2.1*AsphaltBinderBase</f>
        <v>1225.056</v>
      </c>
      <c r="H73" s="9"/>
    </row>
    <row r="74" spans="1:8" x14ac:dyDescent="0.2">
      <c r="A74" s="9"/>
      <c r="B74" s="185"/>
      <c r="C74" s="65">
        <v>215</v>
      </c>
      <c r="D74" s="20">
        <v>220</v>
      </c>
      <c r="E74" s="31">
        <f>3.15*AsphaltBinderBase+0.01</f>
        <v>1837.5940000000001</v>
      </c>
      <c r="F74" s="31">
        <f>3.2*AsphaltBinderBase</f>
        <v>1866.7520000000002</v>
      </c>
      <c r="G74" s="69">
        <f>2.15*AsphaltBinderBase</f>
        <v>1254.2239999999999</v>
      </c>
      <c r="H74" s="9"/>
    </row>
    <row r="75" spans="1:8" x14ac:dyDescent="0.2">
      <c r="A75" s="9"/>
      <c r="B75" s="185"/>
      <c r="C75" s="65">
        <v>220</v>
      </c>
      <c r="D75" s="20">
        <v>225</v>
      </c>
      <c r="E75" s="31">
        <f>3.2*AsphaltBinderBase+0.01</f>
        <v>1866.7620000000002</v>
      </c>
      <c r="F75" s="31">
        <f>3.25*AsphaltBinderBase</f>
        <v>1895.92</v>
      </c>
      <c r="G75" s="69">
        <f>2.2*AsphaltBinderBase</f>
        <v>1283.3920000000001</v>
      </c>
      <c r="H75" s="9"/>
    </row>
    <row r="76" spans="1:8" x14ac:dyDescent="0.2">
      <c r="A76" s="9"/>
      <c r="B76" s="185"/>
      <c r="C76" s="65">
        <v>225</v>
      </c>
      <c r="D76" s="20">
        <v>230</v>
      </c>
      <c r="E76" s="31">
        <f>3.25*AsphaltBinderBase+0.01</f>
        <v>1895.93</v>
      </c>
      <c r="F76" s="31">
        <f>3.3*AsphaltBinderBase</f>
        <v>1925.088</v>
      </c>
      <c r="G76" s="69">
        <f>2.25*AsphaltBinderBase</f>
        <v>1312.56</v>
      </c>
      <c r="H76" s="9"/>
    </row>
    <row r="77" spans="1:8" x14ac:dyDescent="0.2">
      <c r="A77" s="9"/>
      <c r="B77" s="185"/>
      <c r="C77" s="65">
        <v>230</v>
      </c>
      <c r="D77" s="20">
        <v>235</v>
      </c>
      <c r="E77" s="31">
        <f>3.3*AsphaltBinderBase+0.01</f>
        <v>1925.098</v>
      </c>
      <c r="F77" s="31">
        <f>3.35*AsphaltBinderBase</f>
        <v>1954.2560000000001</v>
      </c>
      <c r="G77" s="69">
        <f>2.3*AsphaltBinderBase</f>
        <v>1341.7279999999998</v>
      </c>
      <c r="H77" s="9"/>
    </row>
    <row r="78" spans="1:8" x14ac:dyDescent="0.2">
      <c r="A78" s="9"/>
      <c r="B78" s="185"/>
      <c r="C78" s="65">
        <v>235</v>
      </c>
      <c r="D78" s="20">
        <v>240</v>
      </c>
      <c r="E78" s="31">
        <f>3.35*AsphaltBinderBase+0.01</f>
        <v>1954.2660000000001</v>
      </c>
      <c r="F78" s="31">
        <f>3.4*AsphaltBinderBase</f>
        <v>1983.424</v>
      </c>
      <c r="G78" s="69">
        <f>2.35*AsphaltBinderBase</f>
        <v>1370.8960000000002</v>
      </c>
      <c r="H78" s="9"/>
    </row>
    <row r="79" spans="1:8" x14ac:dyDescent="0.2">
      <c r="A79" s="9"/>
      <c r="B79" s="185"/>
      <c r="C79" s="65">
        <v>240</v>
      </c>
      <c r="D79" s="20">
        <v>245</v>
      </c>
      <c r="E79" s="31">
        <f>3.4*AsphaltBinderBase+0.01</f>
        <v>1983.434</v>
      </c>
      <c r="F79" s="31">
        <f>3.45*AsphaltBinderBase</f>
        <v>2012.5920000000001</v>
      </c>
      <c r="G79" s="69">
        <f>2.4*AsphaltBinderBase</f>
        <v>1400.0640000000001</v>
      </c>
      <c r="H79" s="9"/>
    </row>
    <row r="80" spans="1:8" x14ac:dyDescent="0.2">
      <c r="A80" s="9"/>
      <c r="B80" s="185"/>
      <c r="C80" s="65">
        <v>245</v>
      </c>
      <c r="D80" s="20">
        <v>250</v>
      </c>
      <c r="E80" s="31">
        <f>3.45*AsphaltBinderBase+0.01</f>
        <v>2012.6020000000001</v>
      </c>
      <c r="F80" s="31">
        <f>3.5*AsphaltBinderBase</f>
        <v>2041.76</v>
      </c>
      <c r="G80" s="69">
        <f>2.45*AsphaltBinderBase</f>
        <v>1429.2320000000002</v>
      </c>
      <c r="H80" s="9"/>
    </row>
    <row r="81" spans="1:8" x14ac:dyDescent="0.2">
      <c r="A81" s="9"/>
      <c r="B81" s="185"/>
      <c r="C81" s="65">
        <v>250</v>
      </c>
      <c r="D81" s="20">
        <v>255</v>
      </c>
      <c r="E81" s="31">
        <f>3.5*AsphaltBinderBase+0.01</f>
        <v>2041.77</v>
      </c>
      <c r="F81" s="31">
        <f>3.55*AsphaltBinderBase</f>
        <v>2070.9279999999999</v>
      </c>
      <c r="G81" s="69">
        <f>2.5*AsphaltBinderBase</f>
        <v>1458.4</v>
      </c>
      <c r="H81" s="9"/>
    </row>
    <row r="82" spans="1:8" x14ac:dyDescent="0.2">
      <c r="A82" s="9"/>
      <c r="B82" s="185"/>
      <c r="C82" s="65">
        <v>255</v>
      </c>
      <c r="D82" s="20">
        <v>260</v>
      </c>
      <c r="E82" s="31">
        <f>3.55*AsphaltBinderBase+0.01</f>
        <v>2070.9380000000001</v>
      </c>
      <c r="F82" s="31">
        <f>3.6*AsphaltBinderBase</f>
        <v>2100.096</v>
      </c>
      <c r="G82" s="69">
        <f>2.55*AsphaltBinderBase</f>
        <v>1487.568</v>
      </c>
      <c r="H82" s="9"/>
    </row>
    <row r="83" spans="1:8" x14ac:dyDescent="0.2">
      <c r="A83" s="9"/>
      <c r="B83" s="185"/>
      <c r="C83" s="65">
        <v>260</v>
      </c>
      <c r="D83" s="20">
        <v>265</v>
      </c>
      <c r="E83" s="31">
        <f>3.6*AsphaltBinderBase+0.01</f>
        <v>2100.1060000000002</v>
      </c>
      <c r="F83" s="31">
        <f>3.65*AsphaltBinderBase</f>
        <v>2129.2640000000001</v>
      </c>
      <c r="G83" s="69">
        <f>2.6*AsphaltBinderBase</f>
        <v>1516.7360000000001</v>
      </c>
      <c r="H83" s="9"/>
    </row>
    <row r="84" spans="1:8" x14ac:dyDescent="0.2">
      <c r="A84" s="9"/>
      <c r="B84" s="185"/>
      <c r="C84" s="65">
        <v>265</v>
      </c>
      <c r="D84" s="20">
        <v>270</v>
      </c>
      <c r="E84" s="31">
        <f>3.65*AsphaltBinderBase+0.01</f>
        <v>2129.2740000000003</v>
      </c>
      <c r="F84" s="31">
        <f>3.7*AsphaltBinderBase</f>
        <v>2158.4320000000002</v>
      </c>
      <c r="G84" s="69">
        <f>2.65*AsphaltBinderBase</f>
        <v>1545.904</v>
      </c>
      <c r="H84" s="9"/>
    </row>
    <row r="85" spans="1:8" x14ac:dyDescent="0.2">
      <c r="A85" s="9"/>
      <c r="B85" s="185"/>
      <c r="C85" s="65">
        <v>270</v>
      </c>
      <c r="D85" s="20">
        <v>275</v>
      </c>
      <c r="E85" s="31">
        <f>3.7*AsphaltBinderBase+0.01</f>
        <v>2158.4420000000005</v>
      </c>
      <c r="F85" s="31">
        <f>3.75*AsphaltBinderBase</f>
        <v>2187.6</v>
      </c>
      <c r="G85" s="69">
        <f>2.7*AsphaltBinderBase</f>
        <v>1575.0720000000001</v>
      </c>
      <c r="H85" s="9"/>
    </row>
    <row r="86" spans="1:8" x14ac:dyDescent="0.2">
      <c r="A86" s="9"/>
      <c r="B86" s="185"/>
      <c r="C86" s="65">
        <v>275</v>
      </c>
      <c r="D86" s="20">
        <v>280</v>
      </c>
      <c r="E86" s="31">
        <f>3.75*AsphaltBinderBase+0.01</f>
        <v>2187.61</v>
      </c>
      <c r="F86" s="31">
        <f>3.8*AsphaltBinderBase</f>
        <v>2216.768</v>
      </c>
      <c r="G86" s="69">
        <f>2.75*AsphaltBinderBase</f>
        <v>1604.24</v>
      </c>
      <c r="H86" s="9"/>
    </row>
    <row r="87" spans="1:8" x14ac:dyDescent="0.2">
      <c r="A87" s="9"/>
      <c r="B87" s="185"/>
      <c r="C87" s="65">
        <v>280</v>
      </c>
      <c r="D87" s="20">
        <v>285</v>
      </c>
      <c r="E87" s="31">
        <f>3.8*AsphaltBinderBase+0.01</f>
        <v>2216.7780000000002</v>
      </c>
      <c r="F87" s="31">
        <f>3.85*AsphaltBinderBase</f>
        <v>2245.9360000000001</v>
      </c>
      <c r="G87" s="69">
        <f>2.8*AsphaltBinderBase</f>
        <v>1633.4079999999999</v>
      </c>
      <c r="H87" s="9"/>
    </row>
    <row r="88" spans="1:8" x14ac:dyDescent="0.2">
      <c r="A88" s="9"/>
      <c r="B88" s="185"/>
      <c r="C88" s="65">
        <v>285</v>
      </c>
      <c r="D88" s="20">
        <v>290</v>
      </c>
      <c r="E88" s="31">
        <f>3.85*AsphaltBinderBase+0.01</f>
        <v>2245.9460000000004</v>
      </c>
      <c r="F88" s="31">
        <f>3.9*AsphaltBinderBase</f>
        <v>2275.1039999999998</v>
      </c>
      <c r="G88" s="69">
        <f>2.85*AsphaltBinderBase</f>
        <v>1662.576</v>
      </c>
      <c r="H88" s="9"/>
    </row>
    <row r="89" spans="1:8" x14ac:dyDescent="0.2">
      <c r="A89" s="9"/>
      <c r="B89" s="185"/>
      <c r="C89" s="65">
        <v>290</v>
      </c>
      <c r="D89" s="20">
        <v>295</v>
      </c>
      <c r="E89" s="31">
        <f>3.9*AsphaltBinderBase+0.01</f>
        <v>2275.114</v>
      </c>
      <c r="F89" s="31">
        <f>3.95*AsphaltBinderBase</f>
        <v>2304.2719999999999</v>
      </c>
      <c r="G89" s="69">
        <f>2.9*AsphaltBinderBase</f>
        <v>1691.7439999999999</v>
      </c>
      <c r="H89" s="9"/>
    </row>
    <row r="90" spans="1:8" x14ac:dyDescent="0.2">
      <c r="A90" s="9"/>
      <c r="B90" s="185"/>
      <c r="C90" s="65">
        <v>295</v>
      </c>
      <c r="D90" s="20">
        <v>300</v>
      </c>
      <c r="E90" s="31">
        <f>3.95*AsphaltBinderBase+0.01</f>
        <v>2304.2820000000002</v>
      </c>
      <c r="F90" s="31">
        <f>4*AsphaltBinderBase</f>
        <v>2333.44</v>
      </c>
      <c r="G90" s="69">
        <f>2.95*AsphaltBinderBase</f>
        <v>1720.912</v>
      </c>
      <c r="H90" s="9"/>
    </row>
    <row r="91" spans="1:8" x14ac:dyDescent="0.2">
      <c r="A91" s="9"/>
      <c r="B91" s="185"/>
      <c r="C91" s="65">
        <v>300</v>
      </c>
      <c r="D91" s="20">
        <v>305</v>
      </c>
      <c r="E91" s="31">
        <f>4*AsphaltBinderBase+0.01</f>
        <v>2333.4500000000003</v>
      </c>
      <c r="F91" s="31">
        <f>4.05*AsphaltBinderBase</f>
        <v>2362.6080000000002</v>
      </c>
      <c r="G91" s="69">
        <f>3*AsphaltBinderBase</f>
        <v>1750.08</v>
      </c>
      <c r="H91" s="9"/>
    </row>
    <row r="92" spans="1:8" x14ac:dyDescent="0.2">
      <c r="A92" s="9"/>
      <c r="B92" s="185"/>
      <c r="C92" s="65">
        <v>305</v>
      </c>
      <c r="D92" s="20">
        <v>310</v>
      </c>
      <c r="E92" s="31">
        <f>4.05*AsphaltBinderBase+0.01</f>
        <v>2362.6180000000004</v>
      </c>
      <c r="F92" s="31">
        <f>4.1*AsphaltBinderBase</f>
        <v>2391.7759999999998</v>
      </c>
      <c r="G92" s="69">
        <f>3.05*AsphaltBinderBase</f>
        <v>1779.248</v>
      </c>
      <c r="H92" s="9"/>
    </row>
    <row r="93" spans="1:8" x14ac:dyDescent="0.2">
      <c r="A93" s="9"/>
      <c r="B93" s="185"/>
      <c r="C93" s="65">
        <v>310</v>
      </c>
      <c r="D93" s="20">
        <v>315</v>
      </c>
      <c r="E93" s="31">
        <f>4.1*AsphaltBinderBase+0.01</f>
        <v>2391.7860000000001</v>
      </c>
      <c r="F93" s="31">
        <f>4.15*AsphaltBinderBase</f>
        <v>2420.9440000000004</v>
      </c>
      <c r="G93" s="69">
        <f>3.1*AsphaltBinderBase</f>
        <v>1808.4160000000002</v>
      </c>
      <c r="H93" s="9"/>
    </row>
    <row r="94" spans="1:8" x14ac:dyDescent="0.2">
      <c r="A94" s="9"/>
      <c r="B94" s="185"/>
      <c r="C94" s="65">
        <v>315</v>
      </c>
      <c r="D94" s="20">
        <v>320</v>
      </c>
      <c r="E94" s="31">
        <f>4.15*AsphaltBinderBase+0.01</f>
        <v>2420.9540000000006</v>
      </c>
      <c r="F94" s="31">
        <f>4.2*AsphaltBinderBase</f>
        <v>2450.1120000000001</v>
      </c>
      <c r="G94" s="69">
        <f>3.15*AsphaltBinderBase</f>
        <v>1837.5840000000001</v>
      </c>
      <c r="H94" s="9"/>
    </row>
    <row r="95" spans="1:8" x14ac:dyDescent="0.2">
      <c r="A95" s="9"/>
      <c r="B95" s="185"/>
      <c r="C95" s="65">
        <v>320</v>
      </c>
      <c r="D95" s="20">
        <v>325</v>
      </c>
      <c r="E95" s="31">
        <f>4.2*AsphaltBinderBase+0.01</f>
        <v>2450.1220000000003</v>
      </c>
      <c r="F95" s="31">
        <f>4.25*AsphaltBinderBase</f>
        <v>2479.2800000000002</v>
      </c>
      <c r="G95" s="69">
        <f>3.2*AsphaltBinderBase</f>
        <v>1866.7520000000002</v>
      </c>
      <c r="H95" s="9"/>
    </row>
    <row r="96" spans="1:8" x14ac:dyDescent="0.2">
      <c r="A96" s="9"/>
      <c r="B96" s="185"/>
      <c r="C96" s="65">
        <v>325</v>
      </c>
      <c r="D96" s="20">
        <v>330</v>
      </c>
      <c r="E96" s="31">
        <f>4.25*AsphaltBinderBase+0.01</f>
        <v>2479.2900000000004</v>
      </c>
      <c r="F96" s="31">
        <f>4.3*AsphaltBinderBase</f>
        <v>2508.4479999999999</v>
      </c>
      <c r="G96" s="69">
        <f>3.25*AsphaltBinderBase</f>
        <v>1895.92</v>
      </c>
      <c r="H96" s="9"/>
    </row>
    <row r="97" spans="1:8" x14ac:dyDescent="0.2">
      <c r="A97" s="9"/>
      <c r="B97" s="185"/>
      <c r="C97" s="65">
        <v>330</v>
      </c>
      <c r="D97" s="20">
        <v>335</v>
      </c>
      <c r="E97" s="31">
        <f>4.3*AsphaltBinderBase+0.01</f>
        <v>2508.4580000000001</v>
      </c>
      <c r="F97" s="31">
        <f>4.35*AsphaltBinderBase</f>
        <v>2537.616</v>
      </c>
      <c r="G97" s="69">
        <f>3.3*AsphaltBinderBase</f>
        <v>1925.088</v>
      </c>
      <c r="H97" s="9"/>
    </row>
    <row r="98" spans="1:8" x14ac:dyDescent="0.2">
      <c r="A98" s="9"/>
      <c r="B98" s="185"/>
      <c r="C98" s="65">
        <v>335</v>
      </c>
      <c r="D98" s="20">
        <v>340</v>
      </c>
      <c r="E98" s="31">
        <f>4.35*AsphaltBinderBase+0.01</f>
        <v>2537.6260000000002</v>
      </c>
      <c r="F98" s="31">
        <f>4.4*AsphaltBinderBase</f>
        <v>2566.7840000000001</v>
      </c>
      <c r="G98" s="69">
        <f>3.35*AsphaltBinderBase</f>
        <v>1954.2560000000001</v>
      </c>
      <c r="H98" s="9"/>
    </row>
    <row r="99" spans="1:8" x14ac:dyDescent="0.2">
      <c r="A99" s="9"/>
      <c r="B99" s="185"/>
      <c r="C99" s="65">
        <v>340</v>
      </c>
      <c r="D99" s="20">
        <v>345</v>
      </c>
      <c r="E99" s="31">
        <f>4.4*AsphaltBinderBase+0.01</f>
        <v>2566.7940000000003</v>
      </c>
      <c r="F99" s="31">
        <f>4.45*AsphaltBinderBase</f>
        <v>2595.9520000000002</v>
      </c>
      <c r="G99" s="69">
        <f>3.4*AsphaltBinderBase</f>
        <v>1983.424</v>
      </c>
      <c r="H99" s="9"/>
    </row>
    <row r="100" spans="1:8" x14ac:dyDescent="0.2">
      <c r="A100" s="9"/>
      <c r="B100" s="185"/>
      <c r="C100" s="65">
        <v>345</v>
      </c>
      <c r="D100" s="20">
        <v>350</v>
      </c>
      <c r="E100" s="31">
        <f>4.45*AsphaltBinderBase+0.01</f>
        <v>2595.9620000000004</v>
      </c>
      <c r="F100" s="31">
        <f>4.5*AsphaltBinderBase</f>
        <v>2625.12</v>
      </c>
      <c r="G100" s="69">
        <f>3.45*AsphaltBinderBase</f>
        <v>2012.5920000000001</v>
      </c>
      <c r="H100" s="9"/>
    </row>
    <row r="101" spans="1:8" x14ac:dyDescent="0.2">
      <c r="A101" s="9"/>
      <c r="B101" s="185"/>
      <c r="C101" s="65">
        <v>350</v>
      </c>
      <c r="D101" s="20">
        <v>355</v>
      </c>
      <c r="E101" s="31">
        <f>4.5*AsphaltBinderBase+0.01</f>
        <v>2625.13</v>
      </c>
      <c r="F101" s="31">
        <f>4.55*AsphaltBinderBase</f>
        <v>2654.288</v>
      </c>
      <c r="G101" s="69">
        <f>3.5*AsphaltBinderBase</f>
        <v>2041.76</v>
      </c>
      <c r="H101" s="9"/>
    </row>
    <row r="102" spans="1:8" x14ac:dyDescent="0.2">
      <c r="A102" s="9"/>
      <c r="B102" s="185"/>
      <c r="C102" s="65">
        <v>355</v>
      </c>
      <c r="D102" s="20">
        <v>360</v>
      </c>
      <c r="E102" s="31">
        <f>4.55*AsphaltBinderBase+0.01</f>
        <v>2654.2980000000002</v>
      </c>
      <c r="F102" s="31">
        <f>4.6*AsphaltBinderBase</f>
        <v>2683.4559999999997</v>
      </c>
      <c r="G102" s="69">
        <f>3.55*AsphaltBinderBase</f>
        <v>2070.9279999999999</v>
      </c>
      <c r="H102" s="9"/>
    </row>
    <row r="103" spans="1:8" x14ac:dyDescent="0.2">
      <c r="A103" s="9"/>
      <c r="B103" s="185"/>
      <c r="C103" s="65">
        <v>360</v>
      </c>
      <c r="D103" s="20">
        <v>365</v>
      </c>
      <c r="E103" s="31">
        <f>4.6*AsphaltBinderBase+0.01</f>
        <v>2683.4659999999999</v>
      </c>
      <c r="F103" s="31">
        <f>4.65*AsphaltBinderBase</f>
        <v>2712.6240000000003</v>
      </c>
      <c r="G103" s="69">
        <f>3.6*AsphaltBinderBase</f>
        <v>2100.096</v>
      </c>
      <c r="H103" s="9"/>
    </row>
    <row r="104" spans="1:8" x14ac:dyDescent="0.2">
      <c r="A104" s="9"/>
      <c r="B104" s="185"/>
      <c r="C104" s="65">
        <v>365</v>
      </c>
      <c r="D104" s="20">
        <v>370</v>
      </c>
      <c r="E104" s="31">
        <f>4.65*AsphaltBinderBase+0.01</f>
        <v>2712.6340000000005</v>
      </c>
      <c r="F104" s="31">
        <f>4.7*AsphaltBinderBase</f>
        <v>2741.7920000000004</v>
      </c>
      <c r="G104" s="69">
        <f>3.65*AsphaltBinderBase</f>
        <v>2129.2640000000001</v>
      </c>
      <c r="H104" s="9"/>
    </row>
    <row r="105" spans="1:8" x14ac:dyDescent="0.2">
      <c r="A105" s="9"/>
      <c r="B105" s="186"/>
      <c r="C105" s="71">
        <v>370</v>
      </c>
      <c r="D105" s="56">
        <v>375</v>
      </c>
      <c r="E105" s="59">
        <f>4.7*AsphaltBinderBase+0.01</f>
        <v>2741.8020000000006</v>
      </c>
      <c r="F105" s="59">
        <f>4.75*AsphaltBinderBase</f>
        <v>2770.96</v>
      </c>
      <c r="G105" s="70">
        <f>3.7*AsphaltBinderBase</f>
        <v>2158.4320000000002</v>
      </c>
      <c r="H105" s="9"/>
    </row>
    <row r="106" spans="1:8" x14ac:dyDescent="0.2">
      <c r="A106" s="9"/>
      <c r="B106" s="9"/>
      <c r="C106" s="9"/>
      <c r="D106" s="9"/>
      <c r="E106" s="9"/>
      <c r="F106" s="9"/>
      <c r="G106" s="9"/>
      <c r="H106" s="9"/>
    </row>
    <row r="107" spans="1:8" x14ac:dyDescent="0.2">
      <c r="A107" s="9"/>
      <c r="B107" s="9"/>
      <c r="C107" s="9"/>
      <c r="D107" s="9"/>
      <c r="E107" s="9"/>
      <c r="F107" s="9"/>
      <c r="G107" s="9"/>
      <c r="H107" s="9"/>
    </row>
    <row r="108" spans="1:8" x14ac:dyDescent="0.2">
      <c r="A108" s="9"/>
      <c r="B108" s="9"/>
      <c r="C108" s="9"/>
      <c r="D108" s="9"/>
      <c r="E108" s="9"/>
      <c r="F108" s="9"/>
      <c r="G108" s="9"/>
      <c r="H108" s="9"/>
    </row>
  </sheetData>
  <sheetProtection algorithmName="SHA-512" hashValue="szAvhbUqH1SVaDtCcJSPGwOdLrgY2O991/jas9bh8wcVPfl7NQXwBbUUmJblZXQBiecqwZZRiSzKNQnqJV2aFA==" saltValue="Uy4Z76nGkNrqapocANlOlg==" spinCount="100000" sheet="1" objects="1" scenarios="1"/>
  <mergeCells count="6">
    <mergeCell ref="B31:B105"/>
    <mergeCell ref="B11:B30"/>
    <mergeCell ref="B2:G2"/>
    <mergeCell ref="C4:D4"/>
    <mergeCell ref="C5:D5"/>
    <mergeCell ref="C6:D6"/>
  </mergeCells>
  <phoneticPr fontId="0" type="noConversion"/>
  <conditionalFormatting sqref="G11:G105">
    <cfRule type="cellIs" dxfId="0" priority="1" stopIfTrue="1" operator="equal">
      <formula>$E$6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H22"/>
  <sheetViews>
    <sheetView workbookViewId="0">
      <selection activeCell="H16" sqref="H16"/>
    </sheetView>
  </sheetViews>
  <sheetFormatPr defaultRowHeight="12.75" x14ac:dyDescent="0.2"/>
  <cols>
    <col min="2" max="2" width="26.5703125" bestFit="1" customWidth="1"/>
    <col min="4" max="4" width="10.42578125" customWidth="1"/>
    <col min="5" max="5" width="12" bestFit="1" customWidth="1"/>
    <col min="6" max="6" width="12.140625" customWidth="1"/>
  </cols>
  <sheetData>
    <row r="1" spans="1:8" x14ac:dyDescent="0.2">
      <c r="A1" s="9"/>
      <c r="B1" s="9"/>
      <c r="C1" s="9"/>
      <c r="D1" s="9"/>
      <c r="E1" s="9"/>
      <c r="F1" s="9"/>
      <c r="G1" s="9"/>
      <c r="H1" s="9"/>
    </row>
    <row r="2" spans="1:8" ht="15.75" x14ac:dyDescent="0.25">
      <c r="A2" s="9"/>
      <c r="B2" s="193" t="s">
        <v>57</v>
      </c>
      <c r="C2" s="193"/>
      <c r="D2" s="193"/>
      <c r="E2" s="193"/>
      <c r="F2" s="193"/>
      <c r="G2" s="9"/>
      <c r="H2" s="9"/>
    </row>
    <row r="3" spans="1:8" x14ac:dyDescent="0.2">
      <c r="A3" s="9"/>
      <c r="B3" s="1"/>
      <c r="C3" s="1"/>
      <c r="D3" s="32" t="s">
        <v>58</v>
      </c>
      <c r="E3" s="33">
        <f>AsphaltBinderBase</f>
        <v>583.36</v>
      </c>
      <c r="F3" s="1"/>
      <c r="G3" s="9"/>
      <c r="H3" s="9"/>
    </row>
    <row r="4" spans="1:8" x14ac:dyDescent="0.2">
      <c r="A4" s="9"/>
      <c r="B4" s="1"/>
      <c r="C4" s="1"/>
      <c r="D4" s="32" t="s">
        <v>59</v>
      </c>
      <c r="E4" s="33">
        <f>AsphaltBinderCurrent</f>
        <v>583.36</v>
      </c>
      <c r="F4" s="1"/>
      <c r="G4" s="9"/>
      <c r="H4" s="9"/>
    </row>
    <row r="5" spans="1:8" ht="51" x14ac:dyDescent="0.2">
      <c r="A5" s="9"/>
      <c r="B5" s="34" t="s">
        <v>60</v>
      </c>
      <c r="C5" s="35" t="s">
        <v>61</v>
      </c>
      <c r="D5" s="36" t="s">
        <v>62</v>
      </c>
      <c r="E5" s="36" t="s">
        <v>63</v>
      </c>
      <c r="F5" s="36" t="s">
        <v>64</v>
      </c>
      <c r="G5" s="9"/>
      <c r="H5" s="9"/>
    </row>
    <row r="6" spans="1:8" ht="15" x14ac:dyDescent="0.25">
      <c r="A6" s="9"/>
      <c r="B6" s="73" t="s">
        <v>70</v>
      </c>
      <c r="C6" s="74"/>
      <c r="D6" s="74"/>
      <c r="E6" s="74"/>
      <c r="F6" s="75"/>
      <c r="G6" s="9"/>
      <c r="H6" s="9"/>
    </row>
    <row r="7" spans="1:8" x14ac:dyDescent="0.2">
      <c r="A7" s="9"/>
      <c r="B7" s="76" t="s">
        <v>65</v>
      </c>
      <c r="C7" s="35" t="s">
        <v>22</v>
      </c>
      <c r="D7" s="35">
        <v>0.28000000000000003</v>
      </c>
      <c r="E7" s="35">
        <f>D7*0.65/235</f>
        <v>7.7446808510638304E-4</v>
      </c>
      <c r="F7" s="37">
        <f>E7*AsphaltBinderChange</f>
        <v>0</v>
      </c>
      <c r="G7" s="9"/>
      <c r="H7" s="9"/>
    </row>
    <row r="8" spans="1:8" x14ac:dyDescent="0.2">
      <c r="A8" s="9"/>
      <c r="B8" s="76" t="s">
        <v>68</v>
      </c>
      <c r="C8" s="1"/>
      <c r="D8" s="1"/>
      <c r="E8" s="1"/>
      <c r="F8" s="1"/>
      <c r="G8" s="9"/>
      <c r="H8" s="9"/>
    </row>
    <row r="9" spans="1:8" x14ac:dyDescent="0.2">
      <c r="A9" s="9"/>
      <c r="B9" s="77" t="s">
        <v>89</v>
      </c>
      <c r="C9" s="35" t="s">
        <v>22</v>
      </c>
      <c r="D9" s="35">
        <v>0.82</v>
      </c>
      <c r="E9" s="35">
        <f>D9*0.65/235</f>
        <v>2.2680851063829788E-3</v>
      </c>
      <c r="F9" s="37">
        <f>E9*AsphaltBinderChange</f>
        <v>0</v>
      </c>
      <c r="G9" s="9"/>
      <c r="H9" s="9"/>
    </row>
    <row r="10" spans="1:8" x14ac:dyDescent="0.2">
      <c r="A10" s="9"/>
      <c r="B10" s="77" t="s">
        <v>85</v>
      </c>
      <c r="C10" s="35" t="s">
        <v>22</v>
      </c>
      <c r="D10" s="35">
        <v>0.97</v>
      </c>
      <c r="E10" s="35">
        <f>D10*0.65/235</f>
        <v>2.6829787234042553E-3</v>
      </c>
      <c r="F10" s="37">
        <f>E10*AsphaltBinderChange</f>
        <v>0</v>
      </c>
      <c r="G10" s="9"/>
      <c r="H10" s="9"/>
    </row>
    <row r="11" spans="1:8" x14ac:dyDescent="0.2">
      <c r="A11" s="9"/>
      <c r="B11" s="77" t="s">
        <v>86</v>
      </c>
      <c r="C11" s="35" t="s">
        <v>22</v>
      </c>
      <c r="D11" s="35">
        <v>0.55000000000000004</v>
      </c>
      <c r="E11" s="35">
        <f>D11*0.65/235</f>
        <v>1.521276595744681E-3</v>
      </c>
      <c r="F11" s="37">
        <f>E11*AsphaltBinderChange</f>
        <v>0</v>
      </c>
      <c r="G11" s="9"/>
      <c r="H11" s="9"/>
    </row>
    <row r="12" spans="1:8" x14ac:dyDescent="0.2">
      <c r="A12" s="9"/>
      <c r="B12" s="77" t="s">
        <v>87</v>
      </c>
      <c r="C12" s="35" t="s">
        <v>22</v>
      </c>
      <c r="D12" s="35">
        <v>0.46</v>
      </c>
      <c r="E12" s="35">
        <f>D12*0.65/235</f>
        <v>1.2723404255319151E-3</v>
      </c>
      <c r="F12" s="37">
        <f>E12*AsphaltBinderChange</f>
        <v>0</v>
      </c>
      <c r="G12" s="9"/>
      <c r="H12" s="9"/>
    </row>
    <row r="13" spans="1:8" x14ac:dyDescent="0.2">
      <c r="A13" s="9"/>
      <c r="B13" s="77" t="s">
        <v>88</v>
      </c>
      <c r="C13" s="35" t="s">
        <v>22</v>
      </c>
      <c r="D13" s="35">
        <v>0.48</v>
      </c>
      <c r="E13" s="35">
        <f>D13*0.65/235</f>
        <v>1.3276595744680852E-3</v>
      </c>
      <c r="F13" s="37">
        <f>E13*AsphaltBinderChange</f>
        <v>0</v>
      </c>
      <c r="G13" s="9"/>
      <c r="H13" s="9"/>
    </row>
    <row r="14" spans="1:8" x14ac:dyDescent="0.2">
      <c r="A14" s="9"/>
      <c r="B14" s="78" t="s">
        <v>79</v>
      </c>
      <c r="C14" s="79"/>
      <c r="D14" s="79"/>
      <c r="E14" s="79"/>
      <c r="F14" s="80"/>
      <c r="G14" s="9"/>
      <c r="H14" s="9"/>
    </row>
    <row r="15" spans="1:8" x14ac:dyDescent="0.2">
      <c r="A15" s="9"/>
      <c r="B15" s="77" t="s">
        <v>66</v>
      </c>
      <c r="C15" s="35" t="s">
        <v>22</v>
      </c>
      <c r="D15" s="35">
        <v>0.85</v>
      </c>
      <c r="E15" s="35">
        <f>D15*0.65/235</f>
        <v>2.3510638297872342E-3</v>
      </c>
      <c r="F15" s="37">
        <f>E15*AsphaltBinderChange</f>
        <v>0</v>
      </c>
      <c r="G15" s="9"/>
      <c r="H15" s="9"/>
    </row>
    <row r="16" spans="1:8" x14ac:dyDescent="0.2">
      <c r="A16" s="9"/>
      <c r="B16" s="77" t="s">
        <v>67</v>
      </c>
      <c r="C16" s="35" t="s">
        <v>22</v>
      </c>
      <c r="D16" s="35">
        <v>0.71</v>
      </c>
      <c r="E16" s="35">
        <f>D16*0.65/235</f>
        <v>1.9638297872340425E-3</v>
      </c>
      <c r="F16" s="37">
        <f>E16*AsphaltBinderChange</f>
        <v>0</v>
      </c>
      <c r="G16" s="9"/>
      <c r="H16" s="9"/>
    </row>
    <row r="17" spans="1:8" x14ac:dyDescent="0.2">
      <c r="A17" s="9"/>
      <c r="B17" s="77" t="s">
        <v>69</v>
      </c>
      <c r="C17" s="35" t="s">
        <v>22</v>
      </c>
      <c r="D17" s="35">
        <v>0.82</v>
      </c>
      <c r="E17" s="35">
        <f>D17*0.65/235</f>
        <v>2.2680851063829788E-3</v>
      </c>
      <c r="F17" s="37">
        <f>E17*AsphaltBinderChange</f>
        <v>0</v>
      </c>
      <c r="G17" s="9"/>
      <c r="H17" s="9"/>
    </row>
    <row r="18" spans="1:8" x14ac:dyDescent="0.2">
      <c r="A18" s="9"/>
      <c r="B18" s="9"/>
      <c r="C18" s="9"/>
      <c r="D18" s="9"/>
      <c r="E18" s="9"/>
      <c r="F18" s="9"/>
      <c r="G18" s="9"/>
      <c r="H18" s="9"/>
    </row>
    <row r="19" spans="1:8" x14ac:dyDescent="0.2">
      <c r="A19" s="9"/>
      <c r="B19" s="9"/>
      <c r="C19" s="9"/>
      <c r="D19" s="9"/>
      <c r="E19" s="9"/>
      <c r="F19" s="9"/>
      <c r="G19" s="9"/>
      <c r="H19" s="9"/>
    </row>
    <row r="20" spans="1:8" x14ac:dyDescent="0.2">
      <c r="A20" s="9"/>
      <c r="B20" s="9"/>
      <c r="C20" s="9"/>
      <c r="D20" s="9"/>
      <c r="E20" s="9"/>
      <c r="F20" s="9"/>
      <c r="G20" s="9"/>
      <c r="H20" s="9"/>
    </row>
    <row r="21" spans="1:8" x14ac:dyDescent="0.2">
      <c r="A21" s="9"/>
      <c r="B21" s="9"/>
      <c r="C21" s="9"/>
      <c r="D21" s="9"/>
      <c r="E21" s="9"/>
      <c r="F21" s="9"/>
      <c r="G21" s="9"/>
      <c r="H21" s="9"/>
    </row>
    <row r="22" spans="1:8" x14ac:dyDescent="0.2">
      <c r="A22" s="9"/>
      <c r="B22" s="9"/>
      <c r="C22" s="9"/>
      <c r="D22" s="9"/>
      <c r="E22" s="9"/>
      <c r="F22" s="9"/>
      <c r="G22" s="9"/>
      <c r="H22" s="9"/>
    </row>
  </sheetData>
  <sheetProtection algorithmName="SHA-512" hashValue="7dfyt0D0VOJehz5p5dC3WUOBPQXMPDHGwNUyYUIZ3ff5BHl3Vwups6pREEp3lJgb0lshK6ypukm1LhFte8tA5g==" saltValue="RzP9njyaYcfSLs2dpFx3Pg==" spinCount="100000" sheet="1" objects="1" scenarios="1"/>
  <mergeCells count="1">
    <mergeCell ref="B2:F2"/>
  </mergeCells>
  <phoneticPr fontId="0" type="noConversion"/>
  <pageMargins left="0.75" right="0.75" top="1" bottom="1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07498D1-3631-47CB-9439-8B1313F4F7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5DCE426-B842-49C6-974C-9E78561DBA54}">
  <ds:schemaRefs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177686E-9225-412D-B53E-659A4578A36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Index Dates and Adjustments</vt:lpstr>
      <vt:lpstr>Maintain Indexes</vt:lpstr>
      <vt:lpstr>Fuel Charts</vt:lpstr>
      <vt:lpstr>AC Binder Chart</vt:lpstr>
      <vt:lpstr>Bit. Surf. Chart</vt:lpstr>
      <vt:lpstr>AsphaltBinderBase</vt:lpstr>
      <vt:lpstr>AsphaltBinderChange</vt:lpstr>
      <vt:lpstr>AsphaltBinderCurrent</vt:lpstr>
      <vt:lpstr>DieselBase</vt:lpstr>
      <vt:lpstr>DieselChange</vt:lpstr>
      <vt:lpstr>DieselCurrent</vt:lpstr>
      <vt:lpstr>MaintainIndexes</vt:lpstr>
      <vt:lpstr>UnleadedBase</vt:lpstr>
      <vt:lpstr>UnleadedChange</vt:lpstr>
      <vt:lpstr>UnleadedCurrent</vt:lpstr>
      <vt:lpstr>Validdates</vt:lpstr>
    </vt:vector>
  </TitlesOfParts>
  <Company>SCDOT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Lindberg</dc:creator>
  <cp:lastModifiedBy>Sox, Kyle</cp:lastModifiedBy>
  <cp:lastPrinted>2011-06-17T15:19:45Z</cp:lastPrinted>
  <dcterms:created xsi:type="dcterms:W3CDTF">2006-08-02T15:15:53Z</dcterms:created>
  <dcterms:modified xsi:type="dcterms:W3CDTF">2025-01-02T13:30:02Z</dcterms:modified>
</cp:coreProperties>
</file>