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sondm\Downloads\AEM\"/>
    </mc:Choice>
  </mc:AlternateContent>
  <workbookProtection workbookAlgorithmName="SHA-512" workbookHashValue="x2rpfVlKb60qmJ1Y0aYzYFG9/n7DlyKtlwY0NbdOWAb4swz8BEh9SlBOI3Tw2dIiTQg8g7ZCHi+mdUlNCZ7pIQ==" workbookSaltValue="YS2EptkzqYIfvYzmI/N0zw==" workbookSpinCount="100000" lockStructure="1"/>
  <bookViews>
    <workbookView xWindow="28680" yWindow="-120" windowWidth="29040" windowHeight="16440" tabRatio="845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Indexes'!$B$4:$E$125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Indexes'!$B$4:$B$125</definedName>
  </definedNames>
  <calcPr calcId="162913"/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9" i="5"/>
  <c r="E7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28" i="1" s="1"/>
  <c r="E6" i="4"/>
  <c r="E62" i="3"/>
  <c r="J26" i="1" s="1"/>
  <c r="I38" i="1" l="1"/>
  <c r="F11" i="5"/>
  <c r="F10" i="5"/>
  <c r="I22" i="1"/>
  <c r="J27" i="1"/>
  <c r="I15" i="1"/>
  <c r="I26" i="1"/>
  <c r="K26" i="1" s="1"/>
  <c r="I24" i="1"/>
  <c r="I19" i="1"/>
  <c r="I13" i="1"/>
  <c r="I39" i="1"/>
  <c r="I44" i="1"/>
  <c r="I48" i="1"/>
  <c r="I20" i="1"/>
  <c r="I21" i="1"/>
  <c r="I17" i="1"/>
  <c r="I16" i="1"/>
  <c r="I18" i="1"/>
  <c r="I36" i="1"/>
  <c r="I25" i="1"/>
  <c r="I14" i="1"/>
  <c r="I23" i="1"/>
  <c r="I27" i="1"/>
  <c r="J20" i="1"/>
  <c r="I43" i="1"/>
  <c r="I33" i="1"/>
  <c r="I34" i="1"/>
  <c r="I37" i="1"/>
  <c r="I42" i="1"/>
  <c r="I45" i="1"/>
  <c r="F7" i="5"/>
  <c r="I46" i="1"/>
  <c r="I40" i="1"/>
  <c r="F15" i="5"/>
  <c r="I35" i="1"/>
  <c r="F9" i="5"/>
  <c r="I41" i="1"/>
  <c r="I47" i="1"/>
  <c r="J21" i="1"/>
  <c r="J18" i="1"/>
  <c r="J14" i="1"/>
  <c r="J19" i="1"/>
  <c r="J17" i="1"/>
  <c r="J24" i="1"/>
  <c r="J28" i="1"/>
  <c r="K28" i="1" s="1"/>
  <c r="J25" i="1"/>
  <c r="J13" i="1"/>
  <c r="J22" i="1"/>
  <c r="J16" i="1"/>
  <c r="J23" i="1"/>
  <c r="J15" i="1"/>
  <c r="K15" i="1" l="1"/>
  <c r="K20" i="1"/>
  <c r="K16" i="1"/>
  <c r="K13" i="1"/>
  <c r="K22" i="1"/>
  <c r="K14" i="1"/>
  <c r="K23" i="1"/>
  <c r="K19" i="1"/>
  <c r="K25" i="1"/>
  <c r="K24" i="1"/>
  <c r="K21" i="1"/>
  <c r="K27" i="1"/>
  <c r="K18" i="1"/>
  <c r="K17" i="1"/>
</calcChain>
</file>

<file path=xl/sharedStrings.xml><?xml version="1.0" encoding="utf-8"?>
<sst xmlns="http://schemas.openxmlformats.org/spreadsheetml/2006/main" count="138" uniqueCount="83">
  <si>
    <t>Monthly Indexes</t>
  </si>
  <si>
    <t>Date</t>
  </si>
  <si>
    <t>Bituminous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</si>
  <si>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</si>
  <si>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</si>
  <si>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</si>
  <si>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</si>
  <si>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</si>
  <si>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</si>
  <si>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</si>
  <si>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</si>
  <si>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</si>
  <si>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</si>
  <si>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</si>
  <si>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</si>
  <si>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</si>
  <si>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</si>
  <si>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</si>
  <si>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</si>
  <si>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</si>
  <si>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</si>
  <si>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SY</t>
  </si>
  <si>
    <t>Graded Aggregate Base Course 6" Uniform</t>
  </si>
  <si>
    <t>Graded Aggregate Base Course 8" Uniform</t>
  </si>
  <si>
    <t>Hot Mix Asphalt (Base, Binder, Surface Courses)</t>
  </si>
  <si>
    <t>TON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</si>
  <si>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</si>
  <si>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</si>
  <si>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</si>
  <si>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</si>
  <si>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</si>
  <si>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</si>
  <si>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</si>
  <si>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</si>
  <si>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</si>
  <si>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</si>
  <si>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</si>
  <si>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</si>
  <si>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</si>
  <si>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</si>
  <si>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</si>
  <si>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</si>
  <si>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</si>
  <si>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</si>
  <si>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</si>
  <si>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</si>
  <si>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</si>
  <si>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</si>
  <si>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</si>
  <si>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</si>
  <si>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</si>
  <si>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</si>
  <si>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</si>
  <si>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</si>
  <si>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Double Treatment</t>
  </si>
  <si>
    <t>Asphalt Surface Treatment</t>
  </si>
  <si>
    <t>Emulsion for High Performance Chip Seal (Macrosurfacing)</t>
  </si>
  <si>
    <t>Gal</t>
  </si>
  <si>
    <t xml:space="preserve">   Triple Treatment</t>
  </si>
  <si>
    <t>Graded Aggregate Base Course 10" Uniform</t>
  </si>
  <si>
    <t>Borrow Excavation - Lightweight</t>
  </si>
  <si>
    <t>Type A</t>
  </si>
  <si>
    <t>Type B</t>
  </si>
  <si>
    <t>Type C</t>
  </si>
  <si>
    <t>Full Depth Asphalt Pavement Patching - 4" (Fuel)</t>
  </si>
  <si>
    <t>Full Depth Asphalt Pavement Patching - 6" (Fuel)</t>
  </si>
  <si>
    <t>Full Depth Asphalt Pavement Patching - 8" (Fuel)</t>
  </si>
  <si>
    <t>Full Depth Asphalt Pavement Patching - 10" (Fuel)</t>
  </si>
  <si>
    <t>Full Depth Asphalt Pavement Patching - 12" (Fuel)</t>
  </si>
  <si>
    <t>Full Depth Asphalt Pavement Patching - 4" (AC Binder)</t>
  </si>
  <si>
    <t>Full Depth Asphalt Pavement Patching - 6" (AC Binder)</t>
  </si>
  <si>
    <t>Full Depth Asphalt Pavement Patching - 8" (AC Binder)</t>
  </si>
  <si>
    <t>Full Depth Asphalt Pavement Patching - 10" (AC Binder)</t>
  </si>
  <si>
    <t>Full Depth Asphalt Pavement Patching - 12" (AC Binder)</t>
  </si>
  <si>
    <t>Microsurfacing Surface Course</t>
  </si>
  <si>
    <t>Microsurfacing Leveling/Rut Fill</t>
  </si>
  <si>
    <t>Preventative Maintenance Thin Lift Seal Course (80 psy @ 6.5% AC)</t>
  </si>
  <si>
    <t>Asph Surf Trmt - Double Treatment - Type A (0.55 gals/sy emulsion)</t>
  </si>
  <si>
    <t>Asph Surf Trmt - Double Treatment - Type B (0.46 gals/sy emulsion)</t>
  </si>
  <si>
    <t>Asph Surf Trmt - Double Treatment - Type C (0.48 gals/sy emulsion)</t>
  </si>
  <si>
    <t>Asph Surf Trmt - Single Treatment (0.28 gals/sy emulsion)</t>
  </si>
  <si>
    <t xml:space="preserve"> </t>
  </si>
  <si>
    <t>Asph Surf Trmt - Triple Treatment (0.71 gal/sy emulsion)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</si>
</sst>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39" fillId="0" borderId="0"/>
    <xf numFmtId="43" fontId="24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164" fontId="24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4" fillId="3" borderId="9" xfId="2" applyNumberFormat="1" applyFill="1" applyBorder="1" applyProtection="1">
      <protection hidden="1"/>
    </xf>
    <xf numFmtId="168" fontId="24" fillId="3" borderId="19" xfId="2" applyNumberFormat="1" applyFill="1" applyBorder="1" applyProtection="1">
      <protection hidden="1"/>
    </xf>
    <xf numFmtId="168" fontId="24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4" fillId="2" borderId="20" xfId="2" applyNumberFormat="1" applyFill="1" applyBorder="1" applyProtection="1">
      <protection hidden="1"/>
    </xf>
    <xf numFmtId="168" fontId="24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4" fillId="2" borderId="22" xfId="2" applyNumberFormat="1" applyFill="1" applyBorder="1" applyProtection="1">
      <protection hidden="1"/>
    </xf>
    <xf numFmtId="168" fontId="24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4" fillId="2" borderId="24" xfId="2" applyNumberFormat="1" applyFill="1" applyBorder="1" applyProtection="1">
      <protection hidden="1"/>
    </xf>
    <xf numFmtId="168" fontId="24" fillId="2" borderId="25" xfId="2" applyNumberFormat="1" applyFill="1" applyBorder="1" applyProtection="1">
      <protection hidden="1"/>
    </xf>
    <xf numFmtId="0" fontId="0" fillId="3" borderId="0" xfId="0" applyFill="1" applyBorder="1" applyAlignment="1" applyProtection="1">
      <alignment horizontal="center" vertical="center" textRotation="255"/>
      <protection hidden="1"/>
    </xf>
    <xf numFmtId="0" fontId="0" fillId="3" borderId="0" xfId="0" applyFill="1" applyBorder="1" applyProtection="1">
      <protection hidden="1"/>
    </xf>
    <xf numFmtId="168" fontId="24" fillId="3" borderId="0" xfId="2" applyNumberFormat="1" applyFill="1" applyBorder="1" applyProtection="1">
      <protection hidden="1"/>
    </xf>
    <xf numFmtId="167" fontId="24" fillId="3" borderId="9" xfId="2" applyNumberFormat="1" applyFill="1" applyBorder="1" applyProtection="1">
      <protection hidden="1"/>
    </xf>
    <xf numFmtId="167" fontId="24" fillId="5" borderId="9" xfId="2" applyNumberFormat="1" applyFill="1" applyBorder="1" applyProtection="1">
      <protection hidden="1"/>
    </xf>
    <xf numFmtId="167" fontId="24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2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4" fillId="2" borderId="20" xfId="2" applyNumberFormat="1" applyFont="1" applyFill="1" applyBorder="1" applyProtection="1">
      <protection hidden="1"/>
    </xf>
    <xf numFmtId="168" fontId="24" fillId="2" borderId="26" xfId="2" applyNumberFormat="1" applyFont="1" applyFill="1" applyBorder="1" applyProtection="1">
      <protection hidden="1"/>
    </xf>
    <xf numFmtId="168" fontId="24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4" fillId="2" borderId="28" xfId="2" applyNumberFormat="1" applyFont="1" applyFill="1" applyBorder="1" applyProtection="1">
      <protection hidden="1"/>
    </xf>
    <xf numFmtId="168" fontId="24" fillId="2" borderId="27" xfId="2" applyNumberFormat="1" applyFill="1" applyBorder="1" applyProtection="1">
      <protection hidden="1"/>
    </xf>
    <xf numFmtId="168" fontId="24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4" fillId="2" borderId="30" xfId="2" applyNumberFormat="1" applyFont="1" applyFill="1" applyBorder="1" applyProtection="1">
      <protection hidden="1"/>
    </xf>
    <xf numFmtId="168" fontId="24" fillId="2" borderId="30" xfId="2" applyNumberFormat="1" applyFill="1" applyBorder="1" applyProtection="1">
      <protection hidden="1"/>
    </xf>
    <xf numFmtId="168" fontId="24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4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4" fillId="2" borderId="37" xfId="2" applyNumberFormat="1" applyFill="1" applyBorder="1" applyProtection="1">
      <protection hidden="1"/>
    </xf>
    <xf numFmtId="8" fontId="24" fillId="3" borderId="0" xfId="2" applyNumberFormat="1" applyFill="1" applyProtection="1">
      <protection hidden="1"/>
    </xf>
    <xf numFmtId="0" fontId="24" fillId="2" borderId="0" xfId="0" applyFont="1" applyFill="1" applyProtection="1">
      <protection hidden="1"/>
    </xf>
    <xf numFmtId="0" fontId="0" fillId="2" borderId="40" xfId="0" applyFill="1" applyBorder="1" applyProtection="1">
      <protection hidden="1"/>
    </xf>
    <xf numFmtId="167" fontId="24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4" fillId="2" borderId="42" xfId="2" applyNumberFormat="1" applyFill="1" applyBorder="1" applyProtection="1">
      <protection hidden="1"/>
    </xf>
    <xf numFmtId="167" fontId="24" fillId="2" borderId="43" xfId="2" applyNumberFormat="1" applyFont="1" applyFill="1" applyBorder="1" applyProtection="1">
      <protection hidden="1"/>
    </xf>
    <xf numFmtId="167" fontId="24" fillId="2" borderId="43" xfId="2" applyNumberFormat="1" applyFill="1" applyBorder="1" applyProtection="1">
      <protection hidden="1"/>
    </xf>
    <xf numFmtId="167" fontId="24" fillId="2" borderId="44" xfId="2" applyNumberFormat="1" applyFill="1" applyBorder="1" applyProtection="1">
      <protection hidden="1"/>
    </xf>
    <xf numFmtId="167" fontId="24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4" fillId="0" borderId="0" xfId="2" applyNumberFormat="1" applyFill="1" applyProtection="1">
      <protection hidden="1"/>
    </xf>
    <xf numFmtId="0" fontId="33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6" borderId="0" xfId="0" applyFill="1" applyBorder="1"/>
    <xf numFmtId="0" fontId="0" fillId="7" borderId="68" xfId="0" applyFill="1" applyBorder="1"/>
    <xf numFmtId="0" fontId="26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7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8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 applyBorder="1"/>
    <xf numFmtId="0" fontId="0" fillId="7" borderId="0" xfId="0" applyFill="1" applyBorder="1" applyAlignment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6" fillId="8" borderId="9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1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38" fillId="7" borderId="16" xfId="0" applyFont="1" applyFill="1" applyBorder="1" applyAlignment="1">
      <alignment horizontal="center"/>
    </xf>
    <xf numFmtId="0" fontId="29" fillId="7" borderId="0" xfId="0" applyFont="1" applyFill="1"/>
    <xf numFmtId="0" fontId="29" fillId="7" borderId="8" xfId="0" applyFont="1" applyFill="1" applyBorder="1"/>
    <xf numFmtId="0" fontId="29" fillId="7" borderId="0" xfId="0" applyFont="1" applyFill="1" applyAlignment="1"/>
    <xf numFmtId="0" fontId="34" fillId="6" borderId="9" xfId="0" applyFont="1" applyFill="1" applyBorder="1" applyAlignment="1">
      <alignment horizontal="center"/>
    </xf>
    <xf numFmtId="0" fontId="0" fillId="0" borderId="0" xfId="0"/>
    <xf numFmtId="0" fontId="24" fillId="6" borderId="5" xfId="0" applyFont="1" applyFill="1" applyBorder="1" applyAlignment="1">
      <alignment horizontal="left"/>
    </xf>
    <xf numFmtId="0" fontId="24" fillId="6" borderId="47" xfId="0" applyFont="1" applyFill="1" applyBorder="1" applyAlignment="1">
      <alignment horizontal="left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24" fillId="6" borderId="5" xfId="0" applyFont="1" applyFill="1" applyBorder="1" applyAlignment="1">
      <alignment horizontal="left" wrapText="1"/>
    </xf>
    <xf numFmtId="166" fontId="0" fillId="6" borderId="6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166" fontId="0" fillId="6" borderId="5" xfId="1" applyNumberFormat="1" applyFont="1" applyFill="1" applyBorder="1" applyAlignment="1">
      <alignment horizontal="center"/>
    </xf>
    <xf numFmtId="166" fontId="24" fillId="6" borderId="5" xfId="1" applyNumberFormat="1" applyFont="1" applyFill="1" applyBorder="1" applyAlignment="1">
      <alignment horizontal="center"/>
    </xf>
    <xf numFmtId="166" fontId="24" fillId="6" borderId="7" xfId="1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166" fontId="0" fillId="6" borderId="9" xfId="1" applyNumberFormat="1" applyFont="1" applyFill="1" applyBorder="1" applyAlignment="1">
      <alignment horizontal="center"/>
    </xf>
    <xf numFmtId="0" fontId="37" fillId="8" borderId="9" xfId="0" applyFont="1" applyFill="1" applyBorder="1" applyAlignment="1">
      <alignment horizontal="center"/>
    </xf>
    <xf numFmtId="0" fontId="37" fillId="8" borderId="48" xfId="0" applyFont="1" applyFill="1" applyBorder="1" applyAlignment="1">
      <alignment horizontal="center" wrapText="1"/>
    </xf>
    <xf numFmtId="0" fontId="37" fillId="8" borderId="49" xfId="0" applyFont="1" applyFill="1" applyBorder="1" applyAlignment="1">
      <alignment horizontal="center" wrapText="1"/>
    </xf>
    <xf numFmtId="0" fontId="37" fillId="8" borderId="50" xfId="0" applyFont="1" applyFill="1" applyBorder="1" applyAlignment="1">
      <alignment horizontal="center" wrapText="1"/>
    </xf>
    <xf numFmtId="0" fontId="37" fillId="8" borderId="51" xfId="0" applyFont="1" applyFill="1" applyBorder="1" applyAlignment="1">
      <alignment horizontal="center" wrapText="1"/>
    </xf>
    <xf numFmtId="0" fontId="37" fillId="8" borderId="52" xfId="0" applyFont="1" applyFill="1" applyBorder="1" applyAlignment="1">
      <alignment horizontal="center" wrapText="1"/>
    </xf>
    <xf numFmtId="0" fontId="37" fillId="8" borderId="53" xfId="0" applyFont="1" applyFill="1" applyBorder="1" applyAlignment="1">
      <alignment horizontal="center" wrapText="1"/>
    </xf>
    <xf numFmtId="0" fontId="35" fillId="8" borderId="5" xfId="0" applyFont="1" applyFill="1" applyBorder="1" applyAlignment="1">
      <alignment horizontal="left" indent="1"/>
    </xf>
    <xf numFmtId="0" fontId="35" fillId="8" borderId="6" xfId="0" applyFont="1" applyFill="1" applyBorder="1" applyAlignment="1">
      <alignment horizontal="left" indent="1"/>
    </xf>
    <xf numFmtId="0" fontId="35" fillId="8" borderId="7" xfId="0" applyFont="1" applyFill="1" applyBorder="1" applyAlignment="1">
      <alignment horizontal="left" indent="1"/>
    </xf>
    <xf numFmtId="0" fontId="30" fillId="7" borderId="0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25" fillId="3" borderId="0" xfId="0" applyFont="1" applyFill="1" applyAlignment="1" applyProtection="1">
      <alignment horizontal="center"/>
      <protection hidden="1"/>
    </xf>
    <xf numFmtId="0" fontId="27" fillId="2" borderId="61" xfId="0" applyFont="1" applyFill="1" applyBorder="1" applyAlignment="1" applyProtection="1">
      <alignment horizontal="center"/>
      <protection hidden="1"/>
    </xf>
    <xf numFmtId="0" fontId="27" fillId="2" borderId="62" xfId="0" applyFont="1" applyFill="1" applyBorder="1" applyAlignment="1" applyProtection="1">
      <alignment horizontal="center"/>
      <protection hidden="1"/>
    </xf>
    <xf numFmtId="0" fontId="27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8" fillId="2" borderId="47" xfId="0" applyFont="1" applyFill="1" applyBorder="1" applyAlignment="1" applyProtection="1">
      <alignment horizontal="center" vertical="center" textRotation="255"/>
      <protection hidden="1"/>
    </xf>
    <xf numFmtId="0" fontId="28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 applyAlignment="1"/>
    <xf numFmtId="0" fontId="0" fillId="0" borderId="19" xfId="0" applyBorder="1" applyAlignment="1"/>
    <xf numFmtId="0" fontId="28" fillId="2" borderId="65" xfId="0" applyFont="1" applyFill="1" applyBorder="1" applyAlignment="1" applyProtection="1">
      <alignment horizontal="center" vertical="center" textRotation="255"/>
      <protection hidden="1"/>
    </xf>
    <xf numFmtId="0" fontId="28" fillId="2" borderId="66" xfId="0" applyFont="1" applyFill="1" applyBorder="1" applyAlignment="1" applyProtection="1">
      <alignment horizontal="center" vertical="center" textRotation="255"/>
      <protection hidden="1"/>
    </xf>
    <xf numFmtId="0" fontId="28" fillId="2" borderId="67" xfId="0" applyFont="1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 wrapText="1"/>
      <protection hidden="1"/>
    </xf>
    <xf numFmtId="0" fontId="27" fillId="2" borderId="62" xfId="0" applyFont="1" applyFill="1" applyBorder="1" applyAlignment="1" applyProtection="1">
      <alignment horizontal="center" wrapText="1"/>
      <protection hidden="1"/>
    </xf>
    <xf numFmtId="0" fontId="27" fillId="2" borderId="63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horizontal="center"/>
    </xf>
  </cellXfs>
  <cellStyles count="106">
    <cellStyle name="Comma" xfId="1" builtinId="3"/>
    <cellStyle name="Comma 2" xfId="5"/>
    <cellStyle name="Currency" xfId="2" builtinId="4"/>
    <cellStyle name="Currency 2" xfId="23"/>
    <cellStyle name="Currency 2 2" xfId="47"/>
    <cellStyle name="Currency 2 2 2" xfId="97"/>
    <cellStyle name="Currency 2 3" xfId="73"/>
    <cellStyle name="Currency 3" xfId="25"/>
    <cellStyle name="Currency 3 2" xfId="49"/>
    <cellStyle name="Currency 3 2 2" xfId="99"/>
    <cellStyle name="Currency 3 3" xfId="75"/>
    <cellStyle name="Currency 4" xfId="27"/>
    <cellStyle name="Currency 4 2" xfId="51"/>
    <cellStyle name="Currency 4 2 2" xfId="101"/>
    <cellStyle name="Currency 4 3" xfId="77"/>
    <cellStyle name="Currency 5" xfId="29"/>
    <cellStyle name="Currency 5 2" xfId="53"/>
    <cellStyle name="Currency 5 2 2" xfId="103"/>
    <cellStyle name="Currency 5 3" xfId="79"/>
    <cellStyle name="Currency 6" xfId="55"/>
    <cellStyle name="Currency 6 2" xfId="105"/>
    <cellStyle name="Normal" xfId="0" builtinId="0"/>
    <cellStyle name="Normal 10" xfId="13"/>
    <cellStyle name="Normal 10 2" xfId="37"/>
    <cellStyle name="Normal 10 2 2" xfId="87"/>
    <cellStyle name="Normal 10 3" xfId="63"/>
    <cellStyle name="Normal 11" xfId="14"/>
    <cellStyle name="Normal 11 2" xfId="38"/>
    <cellStyle name="Normal 11 2 2" xfId="88"/>
    <cellStyle name="Normal 11 3" xfId="64"/>
    <cellStyle name="Normal 12" xfId="15"/>
    <cellStyle name="Normal 12 2" xfId="39"/>
    <cellStyle name="Normal 12 2 2" xfId="89"/>
    <cellStyle name="Normal 12 3" xfId="65"/>
    <cellStyle name="Normal 13" xfId="16"/>
    <cellStyle name="Normal 13 2" xfId="40"/>
    <cellStyle name="Normal 13 2 2" xfId="90"/>
    <cellStyle name="Normal 13 3" xfId="66"/>
    <cellStyle name="Normal 14" xfId="17"/>
    <cellStyle name="Normal 14 2" xfId="41"/>
    <cellStyle name="Normal 14 2 2" xfId="91"/>
    <cellStyle name="Normal 14 3" xfId="67"/>
    <cellStyle name="Normal 15" xfId="18"/>
    <cellStyle name="Normal 15 2" xfId="42"/>
    <cellStyle name="Normal 15 2 2" xfId="92"/>
    <cellStyle name="Normal 15 3" xfId="68"/>
    <cellStyle name="Normal 16" xfId="19"/>
    <cellStyle name="Normal 16 2" xfId="43"/>
    <cellStyle name="Normal 16 2 2" xfId="93"/>
    <cellStyle name="Normal 16 3" xfId="69"/>
    <cellStyle name="Normal 17" xfId="20"/>
    <cellStyle name="Normal 17 2" xfId="44"/>
    <cellStyle name="Normal 17 2 2" xfId="94"/>
    <cellStyle name="Normal 17 3" xfId="70"/>
    <cellStyle name="Normal 18" xfId="21"/>
    <cellStyle name="Normal 18 2" xfId="45"/>
    <cellStyle name="Normal 18 2 2" xfId="95"/>
    <cellStyle name="Normal 18 3" xfId="71"/>
    <cellStyle name="Normal 19" xfId="22"/>
    <cellStyle name="Normal 19 2" xfId="46"/>
    <cellStyle name="Normal 19 2 2" xfId="96"/>
    <cellStyle name="Normal 19 3" xfId="72"/>
    <cellStyle name="Normal 2" xfId="4"/>
    <cellStyle name="Normal 2 2" xfId="8"/>
    <cellStyle name="Normal 20" xfId="24"/>
    <cellStyle name="Normal 20 2" xfId="48"/>
    <cellStyle name="Normal 20 2 2" xfId="98"/>
    <cellStyle name="Normal 20 3" xfId="74"/>
    <cellStyle name="Normal 21" xfId="26"/>
    <cellStyle name="Normal 21 2" xfId="50"/>
    <cellStyle name="Normal 21 2 2" xfId="100"/>
    <cellStyle name="Normal 21 3" xfId="76"/>
    <cellStyle name="Normal 22" xfId="28"/>
    <cellStyle name="Normal 22 2" xfId="52"/>
    <cellStyle name="Normal 22 2 2" xfId="102"/>
    <cellStyle name="Normal 22 3" xfId="78"/>
    <cellStyle name="Normal 23" xfId="54"/>
    <cellStyle name="Normal 23 2" xfId="104"/>
    <cellStyle name="Normal 3" xfId="3"/>
    <cellStyle name="Normal 3 2" xfId="30"/>
    <cellStyle name="Normal 3 2 2" xfId="80"/>
    <cellStyle name="Normal 3 3" xfId="56"/>
    <cellStyle name="Normal 4" xfId="6"/>
    <cellStyle name="Normal 4 2" xfId="31"/>
    <cellStyle name="Normal 4 2 2" xfId="81"/>
    <cellStyle name="Normal 4 3" xfId="57"/>
    <cellStyle name="Normal 5" xfId="7"/>
    <cellStyle name="Normal 5 2" xfId="32"/>
    <cellStyle name="Normal 5 2 2" xfId="82"/>
    <cellStyle name="Normal 5 3" xfId="58"/>
    <cellStyle name="Normal 6" xfId="9"/>
    <cellStyle name="Normal 6 2" xfId="33"/>
    <cellStyle name="Normal 6 2 2" xfId="83"/>
    <cellStyle name="Normal 6 3" xfId="59"/>
    <cellStyle name="Normal 7" xfId="10"/>
    <cellStyle name="Normal 7 2" xfId="34"/>
    <cellStyle name="Normal 7 2 2" xfId="84"/>
    <cellStyle name="Normal 7 3" xfId="60"/>
    <cellStyle name="Normal 8" xfId="11"/>
    <cellStyle name="Normal 8 2" xfId="35"/>
    <cellStyle name="Normal 8 2 2" xfId="85"/>
    <cellStyle name="Normal 8 3" xfId="61"/>
    <cellStyle name="Normal 9" xfId="12"/>
    <cellStyle name="Normal 9 2" xfId="36"/>
    <cellStyle name="Normal 9 2 2" xfId="86"/>
    <cellStyle name="Normal 9 3" xfId="62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4"/>
  <sheetViews>
    <sheetView tabSelected="1" topLeftCell="A28" zoomScale="115" zoomScaleNormal="115" workbookViewId="0">
      <selection activeCell="L39" sqref="L39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81"/>
      <c r="B1" s="82" t="s">
        <v>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17.25" thickTop="1" thickBot="1" x14ac:dyDescent="0.3">
      <c r="A2" s="85"/>
      <c r="B2" s="86" t="s">
        <v>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ht="16.5" thickTop="1" thickBot="1" x14ac:dyDescent="0.25">
      <c r="A3" s="85"/>
      <c r="B3" s="89" t="s">
        <v>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</row>
    <row r="4" spans="1:33" ht="16.5" thickTop="1" thickBot="1" x14ac:dyDescent="0.25">
      <c r="A4" s="90"/>
      <c r="B4" s="91" t="s">
        <v>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1:33" ht="13.5" thickTop="1" x14ac:dyDescent="0.2">
      <c r="A5" s="94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01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ht="18" x14ac:dyDescent="0.25">
      <c r="A6" s="95"/>
      <c r="B6" s="158" t="s">
        <v>9</v>
      </c>
      <c r="C6" s="159"/>
      <c r="D6" s="159"/>
      <c r="E6" s="160"/>
      <c r="F6" s="98"/>
      <c r="G6" s="99"/>
      <c r="H6" s="158" t="s">
        <v>10</v>
      </c>
      <c r="I6" s="159"/>
      <c r="J6" s="159"/>
      <c r="K6" s="160"/>
      <c r="L6" s="98"/>
      <c r="M6" s="102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x14ac:dyDescent="0.2">
      <c r="A7" s="95"/>
      <c r="B7" s="105" t="s">
        <v>1</v>
      </c>
      <c r="C7" s="106" t="s">
        <v>11</v>
      </c>
      <c r="D7" s="106" t="s">
        <v>3</v>
      </c>
      <c r="E7" s="106" t="s">
        <v>4</v>
      </c>
      <c r="F7" s="98"/>
      <c r="G7" s="99"/>
      <c r="H7" s="105" t="s">
        <v>1</v>
      </c>
      <c r="I7" s="106" t="s">
        <v>11</v>
      </c>
      <c r="J7" s="106" t="s">
        <v>3</v>
      </c>
      <c r="K7" s="106" t="s">
        <v>4</v>
      </c>
      <c r="L7" s="161"/>
      <c r="M7" s="102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3" x14ac:dyDescent="0.2">
      <c r="A8" s="95"/>
      <c r="B8" s="6">
        <v>45658</v>
      </c>
      <c r="C8" s="107">
        <f>VLOOKUP(B8,MaintainIndexes,2,FALSE)</f>
        <v>583.36</v>
      </c>
      <c r="D8" s="108">
        <f>VLOOKUP($B8,MaintainIndexes,3,FALSE)</f>
        <v>2.5889000000000002</v>
      </c>
      <c r="E8" s="108">
        <f>VLOOKUP($B8,MaintainIndexes,4,FALSE)</f>
        <v>2.2722224999999998</v>
      </c>
      <c r="F8" s="98"/>
      <c r="G8" s="99" t="s">
        <v>12</v>
      </c>
      <c r="H8" s="7">
        <v>45658</v>
      </c>
      <c r="I8" s="107">
        <f>VLOOKUP(H8,MaintainIndexes,2,FALSE)</f>
        <v>583.36</v>
      </c>
      <c r="J8" s="108">
        <f>VLOOKUP($H8,MaintainIndexes,3,FALSE)</f>
        <v>2.5889000000000002</v>
      </c>
      <c r="K8" s="108">
        <f>VLOOKUP($H8,MaintainIndexes,4,FALSE)</f>
        <v>2.2722224999999998</v>
      </c>
      <c r="L8" s="161"/>
      <c r="M8" s="102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3" ht="13.5" thickBot="1" x14ac:dyDescent="0.25">
      <c r="A9" s="96"/>
      <c r="B9" s="100"/>
      <c r="C9" s="100"/>
      <c r="D9" s="104"/>
      <c r="E9" s="104"/>
      <c r="F9" s="100"/>
      <c r="G9" s="100"/>
      <c r="H9" s="100"/>
      <c r="I9" s="100"/>
      <c r="J9" s="100"/>
      <c r="K9" s="100"/>
      <c r="L9" s="100"/>
      <c r="M9" s="103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3" ht="13.5" thickTop="1" x14ac:dyDescent="0.2">
      <c r="A10" s="95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02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3" x14ac:dyDescent="0.2">
      <c r="A11" s="95"/>
      <c r="B11" s="151" t="s">
        <v>13</v>
      </c>
      <c r="C11" s="151"/>
      <c r="D11" s="151"/>
      <c r="E11" s="151"/>
      <c r="F11" s="151" t="s">
        <v>14</v>
      </c>
      <c r="G11" s="151" t="s">
        <v>15</v>
      </c>
      <c r="H11" s="151"/>
      <c r="I11" s="151" t="s">
        <v>16</v>
      </c>
      <c r="J11" s="151"/>
      <c r="K11" s="151"/>
      <c r="L11" s="98"/>
      <c r="M11" s="102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</row>
    <row r="12" spans="1:33" x14ac:dyDescent="0.2">
      <c r="A12" s="95"/>
      <c r="B12" s="151"/>
      <c r="C12" s="151"/>
      <c r="D12" s="151"/>
      <c r="E12" s="151"/>
      <c r="F12" s="151"/>
      <c r="G12" s="117" t="s">
        <v>3</v>
      </c>
      <c r="H12" s="117" t="s">
        <v>4</v>
      </c>
      <c r="I12" s="118" t="s">
        <v>3</v>
      </c>
      <c r="J12" s="118" t="s">
        <v>4</v>
      </c>
      <c r="K12" s="118" t="s">
        <v>17</v>
      </c>
      <c r="L12" s="98"/>
      <c r="M12" s="102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</row>
    <row r="13" spans="1:33" x14ac:dyDescent="0.2">
      <c r="A13" s="95"/>
      <c r="B13" s="149" t="s">
        <v>18</v>
      </c>
      <c r="C13" s="149"/>
      <c r="D13" s="149"/>
      <c r="E13" s="149"/>
      <c r="F13" s="109" t="s">
        <v>19</v>
      </c>
      <c r="G13" s="110">
        <v>0.28999999999999998</v>
      </c>
      <c r="H13" s="110">
        <v>0.15</v>
      </c>
      <c r="I13" s="111">
        <f t="shared" ref="I13:I27" si="0">ROUND(G13*DieselChange,2)</f>
        <v>0</v>
      </c>
      <c r="J13" s="111">
        <f>ROUND(H13*UnleadedChange,2)</f>
        <v>0</v>
      </c>
      <c r="K13" s="111">
        <f>I13+J13</f>
        <v>0</v>
      </c>
      <c r="L13" s="98"/>
      <c r="M13" s="102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</row>
    <row r="14" spans="1:33" x14ac:dyDescent="0.2">
      <c r="A14" s="95"/>
      <c r="B14" s="149" t="s">
        <v>20</v>
      </c>
      <c r="C14" s="149"/>
      <c r="D14" s="149"/>
      <c r="E14" s="149"/>
      <c r="F14" s="109" t="s">
        <v>19</v>
      </c>
      <c r="G14" s="110">
        <v>0.28999999999999998</v>
      </c>
      <c r="H14" s="110">
        <v>0.15</v>
      </c>
      <c r="I14" s="111">
        <f t="shared" si="0"/>
        <v>0</v>
      </c>
      <c r="J14" s="111">
        <f t="shared" ref="J14:J27" si="1">ROUND(H14*UnleadedChange,2)</f>
        <v>0</v>
      </c>
      <c r="K14" s="111">
        <f t="shared" ref="K14:K27" si="2">I14+J14</f>
        <v>0</v>
      </c>
      <c r="L14" s="98"/>
      <c r="M14" s="102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</row>
    <row r="15" spans="1:33" x14ac:dyDescent="0.2">
      <c r="A15" s="95"/>
      <c r="B15" s="149" t="s">
        <v>22</v>
      </c>
      <c r="C15" s="149"/>
      <c r="D15" s="149"/>
      <c r="E15" s="149"/>
      <c r="F15" s="109" t="s">
        <v>21</v>
      </c>
      <c r="G15" s="110">
        <v>0.1</v>
      </c>
      <c r="H15" s="110">
        <v>0.06</v>
      </c>
      <c r="I15" s="111">
        <f t="shared" si="0"/>
        <v>0</v>
      </c>
      <c r="J15" s="111">
        <f t="shared" si="1"/>
        <v>0</v>
      </c>
      <c r="K15" s="111">
        <f t="shared" si="2"/>
        <v>0</v>
      </c>
      <c r="L15" s="98"/>
      <c r="M15" s="102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</row>
    <row r="16" spans="1:33" x14ac:dyDescent="0.2">
      <c r="A16" s="95"/>
      <c r="B16" s="149" t="s">
        <v>23</v>
      </c>
      <c r="C16" s="149"/>
      <c r="D16" s="149"/>
      <c r="E16" s="149"/>
      <c r="F16" s="109" t="s">
        <v>21</v>
      </c>
      <c r="G16" s="110">
        <v>0.13</v>
      </c>
      <c r="H16" s="110">
        <v>0.06</v>
      </c>
      <c r="I16" s="111">
        <f t="shared" si="0"/>
        <v>0</v>
      </c>
      <c r="J16" s="111">
        <f t="shared" si="1"/>
        <v>0</v>
      </c>
      <c r="K16" s="111">
        <f t="shared" si="2"/>
        <v>0</v>
      </c>
      <c r="L16" s="98"/>
      <c r="M16" s="102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x14ac:dyDescent="0.2">
      <c r="A17" s="95"/>
      <c r="B17" s="149" t="s">
        <v>59</v>
      </c>
      <c r="C17" s="149"/>
      <c r="D17" s="149"/>
      <c r="E17" s="149"/>
      <c r="F17" s="109" t="s">
        <v>21</v>
      </c>
      <c r="G17" s="110">
        <v>0.16</v>
      </c>
      <c r="H17" s="110">
        <v>0.1</v>
      </c>
      <c r="I17" s="111">
        <f>ROUND(G17*DieselChange,2)</f>
        <v>0</v>
      </c>
      <c r="J17" s="111">
        <f>ROUND(H17*UnleadedChange,2)</f>
        <v>0</v>
      </c>
      <c r="K17" s="111">
        <f>I17+J17</f>
        <v>0</v>
      </c>
      <c r="L17" s="98"/>
      <c r="M17" s="102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</row>
    <row r="18" spans="1:33" x14ac:dyDescent="0.2">
      <c r="A18" s="95"/>
      <c r="B18" s="149" t="s">
        <v>24</v>
      </c>
      <c r="C18" s="149"/>
      <c r="D18" s="149"/>
      <c r="E18" s="149"/>
      <c r="F18" s="109" t="s">
        <v>25</v>
      </c>
      <c r="G18" s="110">
        <v>2.9</v>
      </c>
      <c r="H18" s="110">
        <v>0.71</v>
      </c>
      <c r="I18" s="111">
        <f t="shared" si="0"/>
        <v>0</v>
      </c>
      <c r="J18" s="111">
        <f t="shared" si="1"/>
        <v>0</v>
      </c>
      <c r="K18" s="111">
        <f t="shared" si="2"/>
        <v>0</v>
      </c>
      <c r="L18" s="98"/>
      <c r="M18" s="102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</row>
    <row r="19" spans="1:33" x14ac:dyDescent="0.2">
      <c r="A19" s="95"/>
      <c r="B19" s="149" t="s">
        <v>64</v>
      </c>
      <c r="C19" s="149"/>
      <c r="D19" s="149"/>
      <c r="E19" s="149"/>
      <c r="F19" s="109" t="s">
        <v>21</v>
      </c>
      <c r="G19" s="110">
        <v>0.64</v>
      </c>
      <c r="H19" s="110">
        <v>0.16</v>
      </c>
      <c r="I19" s="111">
        <f t="shared" si="0"/>
        <v>0</v>
      </c>
      <c r="J19" s="111">
        <f t="shared" si="1"/>
        <v>0</v>
      </c>
      <c r="K19" s="111">
        <f t="shared" si="2"/>
        <v>0</v>
      </c>
      <c r="L19" s="98"/>
      <c r="M19" s="102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</row>
    <row r="20" spans="1:33" x14ac:dyDescent="0.2">
      <c r="A20" s="95"/>
      <c r="B20" s="149" t="s">
        <v>65</v>
      </c>
      <c r="C20" s="149"/>
      <c r="D20" s="149"/>
      <c r="E20" s="149"/>
      <c r="F20" s="109" t="s">
        <v>21</v>
      </c>
      <c r="G20" s="110">
        <v>0.96</v>
      </c>
      <c r="H20" s="110">
        <v>0.23</v>
      </c>
      <c r="I20" s="111">
        <f t="shared" si="0"/>
        <v>0</v>
      </c>
      <c r="J20" s="111">
        <f t="shared" si="1"/>
        <v>0</v>
      </c>
      <c r="K20" s="111">
        <f t="shared" si="2"/>
        <v>0</v>
      </c>
      <c r="L20" s="98"/>
      <c r="M20" s="102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</row>
    <row r="21" spans="1:33" x14ac:dyDescent="0.2">
      <c r="A21" s="95"/>
      <c r="B21" s="149" t="s">
        <v>66</v>
      </c>
      <c r="C21" s="149"/>
      <c r="D21" s="149"/>
      <c r="E21" s="149"/>
      <c r="F21" s="109" t="s">
        <v>21</v>
      </c>
      <c r="G21" s="110">
        <v>1.28</v>
      </c>
      <c r="H21" s="110">
        <v>0.31</v>
      </c>
      <c r="I21" s="111">
        <f t="shared" si="0"/>
        <v>0</v>
      </c>
      <c r="J21" s="111">
        <f t="shared" si="1"/>
        <v>0</v>
      </c>
      <c r="K21" s="111">
        <f t="shared" si="2"/>
        <v>0</v>
      </c>
      <c r="L21" s="98"/>
      <c r="M21" s="102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">
      <c r="A22" s="95"/>
      <c r="B22" s="149" t="s">
        <v>67</v>
      </c>
      <c r="C22" s="149"/>
      <c r="D22" s="149"/>
      <c r="E22" s="149"/>
      <c r="F22" s="109" t="s">
        <v>21</v>
      </c>
      <c r="G22" s="110">
        <v>1.6</v>
      </c>
      <c r="H22" s="110">
        <v>0.39</v>
      </c>
      <c r="I22" s="111">
        <f t="shared" si="0"/>
        <v>0</v>
      </c>
      <c r="J22" s="111">
        <f t="shared" si="1"/>
        <v>0</v>
      </c>
      <c r="K22" s="111">
        <f t="shared" si="2"/>
        <v>0</v>
      </c>
      <c r="L22" s="98"/>
      <c r="M22" s="102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</row>
    <row r="23" spans="1:33" x14ac:dyDescent="0.2">
      <c r="A23" s="95"/>
      <c r="B23" s="149" t="s">
        <v>68</v>
      </c>
      <c r="C23" s="149"/>
      <c r="D23" s="149"/>
      <c r="E23" s="149"/>
      <c r="F23" s="109" t="s">
        <v>21</v>
      </c>
      <c r="G23" s="110">
        <v>1.91</v>
      </c>
      <c r="H23" s="110">
        <v>0.47</v>
      </c>
      <c r="I23" s="111">
        <f t="shared" si="0"/>
        <v>0</v>
      </c>
      <c r="J23" s="111">
        <f t="shared" si="1"/>
        <v>0</v>
      </c>
      <c r="K23" s="111">
        <f t="shared" si="2"/>
        <v>0</v>
      </c>
      <c r="L23" s="98"/>
      <c r="M23" s="102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</row>
    <row r="24" spans="1:33" x14ac:dyDescent="0.2">
      <c r="A24" s="95"/>
      <c r="B24" s="149" t="s">
        <v>26</v>
      </c>
      <c r="C24" s="149"/>
      <c r="D24" s="149"/>
      <c r="E24" s="149"/>
      <c r="F24" s="109" t="s">
        <v>21</v>
      </c>
      <c r="G24" s="110">
        <v>0.25</v>
      </c>
      <c r="H24" s="110">
        <v>0.2</v>
      </c>
      <c r="I24" s="111">
        <f t="shared" si="0"/>
        <v>0</v>
      </c>
      <c r="J24" s="111">
        <f t="shared" si="1"/>
        <v>0</v>
      </c>
      <c r="K24" s="111">
        <f t="shared" si="2"/>
        <v>0</v>
      </c>
      <c r="L24" s="98"/>
      <c r="M24" s="102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</row>
    <row r="25" spans="1:33" x14ac:dyDescent="0.2">
      <c r="A25" s="95"/>
      <c r="B25" s="149" t="s">
        <v>27</v>
      </c>
      <c r="C25" s="149"/>
      <c r="D25" s="149"/>
      <c r="E25" s="149"/>
      <c r="F25" s="109" t="s">
        <v>19</v>
      </c>
      <c r="G25" s="110">
        <v>1</v>
      </c>
      <c r="H25" s="110">
        <v>0.2</v>
      </c>
      <c r="I25" s="111">
        <f t="shared" si="0"/>
        <v>0</v>
      </c>
      <c r="J25" s="111">
        <f t="shared" si="1"/>
        <v>0</v>
      </c>
      <c r="K25" s="111">
        <f t="shared" si="2"/>
        <v>0</v>
      </c>
      <c r="L25" s="98"/>
      <c r="M25" s="102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  <row r="26" spans="1:33" x14ac:dyDescent="0.2">
      <c r="A26" s="95"/>
      <c r="B26" s="149" t="s">
        <v>28</v>
      </c>
      <c r="C26" s="149"/>
      <c r="D26" s="149"/>
      <c r="E26" s="149"/>
      <c r="F26" s="109" t="s">
        <v>29</v>
      </c>
      <c r="G26" s="110">
        <v>0.5</v>
      </c>
      <c r="H26" s="110">
        <v>0.15</v>
      </c>
      <c r="I26" s="111">
        <f t="shared" si="0"/>
        <v>0</v>
      </c>
      <c r="J26" s="111">
        <f t="shared" si="1"/>
        <v>0</v>
      </c>
      <c r="K26" s="111">
        <f t="shared" si="2"/>
        <v>0</v>
      </c>
      <c r="L26" s="98"/>
      <c r="M26" s="102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x14ac:dyDescent="0.2">
      <c r="A27" s="95"/>
      <c r="B27" s="149" t="s">
        <v>30</v>
      </c>
      <c r="C27" s="149"/>
      <c r="D27" s="149"/>
      <c r="E27" s="149"/>
      <c r="F27" s="109" t="s">
        <v>29</v>
      </c>
      <c r="G27" s="110">
        <v>0.75</v>
      </c>
      <c r="H27" s="110">
        <v>0.15</v>
      </c>
      <c r="I27" s="111">
        <f t="shared" si="0"/>
        <v>0</v>
      </c>
      <c r="J27" s="111">
        <f t="shared" si="1"/>
        <v>0</v>
      </c>
      <c r="K27" s="111">
        <f t="shared" si="2"/>
        <v>0</v>
      </c>
      <c r="L27" s="98"/>
      <c r="M27" s="102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33" x14ac:dyDescent="0.2">
      <c r="A28" s="95"/>
      <c r="B28" s="149" t="s">
        <v>60</v>
      </c>
      <c r="C28" s="149"/>
      <c r="D28" s="149"/>
      <c r="E28" s="149"/>
      <c r="F28" s="109" t="s">
        <v>19</v>
      </c>
      <c r="G28" s="110">
        <v>2.8</v>
      </c>
      <c r="H28" s="110">
        <v>0</v>
      </c>
      <c r="I28" s="111">
        <f t="shared" ref="I28" si="3">ROUND(G28*DieselChange,2)</f>
        <v>0</v>
      </c>
      <c r="J28" s="111">
        <f t="shared" ref="J28" si="4">ROUND(H28*UnleadedChange,2)</f>
        <v>0</v>
      </c>
      <c r="K28" s="111">
        <f t="shared" ref="K28" si="5">I28+J28</f>
        <v>0</v>
      </c>
      <c r="L28" s="98"/>
      <c r="M28" s="102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3" ht="13.5" thickBot="1" x14ac:dyDescent="0.25">
      <c r="A29" s="96"/>
      <c r="B29" s="119" t="s">
        <v>31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3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33" ht="13.5" thickTop="1" x14ac:dyDescent="0.2">
      <c r="A30" s="120"/>
      <c r="B30" s="98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01"/>
      <c r="N30" s="80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3" x14ac:dyDescent="0.2">
      <c r="A31" s="95"/>
      <c r="B31" s="152" t="s">
        <v>32</v>
      </c>
      <c r="C31" s="153"/>
      <c r="D31" s="153"/>
      <c r="E31" s="154"/>
      <c r="F31" s="151" t="s">
        <v>14</v>
      </c>
      <c r="G31" s="142" t="s">
        <v>33</v>
      </c>
      <c r="H31" s="142"/>
      <c r="I31" s="142" t="s">
        <v>34</v>
      </c>
      <c r="J31" s="142"/>
      <c r="K31" s="129"/>
      <c r="L31" s="130"/>
      <c r="M31" s="131"/>
      <c r="N31" s="80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 x14ac:dyDescent="0.2">
      <c r="A32" s="95"/>
      <c r="B32" s="155"/>
      <c r="C32" s="156"/>
      <c r="D32" s="156"/>
      <c r="E32" s="157"/>
      <c r="F32" s="151"/>
      <c r="G32" s="142"/>
      <c r="H32" s="142"/>
      <c r="I32" s="142"/>
      <c r="J32" s="142"/>
      <c r="K32" s="132"/>
      <c r="L32" s="130"/>
      <c r="M32" s="131"/>
      <c r="N32" s="80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x14ac:dyDescent="0.2">
      <c r="A33" s="95"/>
      <c r="B33" s="149" t="s">
        <v>35</v>
      </c>
      <c r="C33" s="149"/>
      <c r="D33" s="149"/>
      <c r="E33" s="149"/>
      <c r="F33" s="109" t="s">
        <v>25</v>
      </c>
      <c r="G33" s="150">
        <v>1</v>
      </c>
      <c r="H33" s="150"/>
      <c r="I33" s="137">
        <f t="shared" ref="I33:I39" si="6">ROUND((G33*AsphaltBinderChange),2)</f>
        <v>0</v>
      </c>
      <c r="J33" s="138"/>
      <c r="K33" s="132"/>
      <c r="L33" s="130"/>
      <c r="M33" s="131"/>
      <c r="N33" s="80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x14ac:dyDescent="0.2">
      <c r="A34" s="95"/>
      <c r="B34" s="149" t="s">
        <v>36</v>
      </c>
      <c r="C34" s="149"/>
      <c r="D34" s="149"/>
      <c r="E34" s="149"/>
      <c r="F34" s="109" t="s">
        <v>25</v>
      </c>
      <c r="G34" s="150">
        <v>1</v>
      </c>
      <c r="H34" s="150"/>
      <c r="I34" s="137">
        <f t="shared" si="6"/>
        <v>0</v>
      </c>
      <c r="J34" s="138"/>
      <c r="K34" s="132"/>
      <c r="L34" s="130"/>
      <c r="M34" s="131"/>
      <c r="N34" s="80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x14ac:dyDescent="0.2">
      <c r="A35" s="95"/>
      <c r="B35" s="149" t="s">
        <v>69</v>
      </c>
      <c r="C35" s="149"/>
      <c r="D35" s="149"/>
      <c r="E35" s="149"/>
      <c r="F35" s="109" t="s">
        <v>21</v>
      </c>
      <c r="G35" s="150">
        <v>1.0999999999999999E-2</v>
      </c>
      <c r="H35" s="150"/>
      <c r="I35" s="137">
        <f t="shared" si="6"/>
        <v>0</v>
      </c>
      <c r="J35" s="138"/>
      <c r="K35" s="132"/>
      <c r="L35" s="130"/>
      <c r="M35" s="131"/>
      <c r="N35" s="80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x14ac:dyDescent="0.2">
      <c r="A36" s="95"/>
      <c r="B36" s="149" t="s">
        <v>70</v>
      </c>
      <c r="C36" s="149"/>
      <c r="D36" s="149"/>
      <c r="E36" s="149"/>
      <c r="F36" s="109" t="s">
        <v>21</v>
      </c>
      <c r="G36" s="150">
        <v>1.6500000000000001E-2</v>
      </c>
      <c r="H36" s="150"/>
      <c r="I36" s="137">
        <f t="shared" si="6"/>
        <v>0</v>
      </c>
      <c r="J36" s="138"/>
      <c r="K36" s="132"/>
      <c r="L36" s="130"/>
      <c r="M36" s="131"/>
      <c r="N36" s="80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x14ac:dyDescent="0.2">
      <c r="A37" s="95"/>
      <c r="B37" s="149" t="s">
        <v>71</v>
      </c>
      <c r="C37" s="149"/>
      <c r="D37" s="149"/>
      <c r="E37" s="149"/>
      <c r="F37" s="109" t="s">
        <v>21</v>
      </c>
      <c r="G37" s="150">
        <v>2.1999999999999999E-2</v>
      </c>
      <c r="H37" s="150"/>
      <c r="I37" s="137">
        <f t="shared" si="6"/>
        <v>0</v>
      </c>
      <c r="J37" s="138"/>
      <c r="K37" s="132"/>
      <c r="L37" s="130"/>
      <c r="M37" s="131"/>
      <c r="N37" s="80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x14ac:dyDescent="0.2">
      <c r="A38" s="95"/>
      <c r="B38" s="149" t="s">
        <v>72</v>
      </c>
      <c r="C38" s="149"/>
      <c r="D38" s="149"/>
      <c r="E38" s="149"/>
      <c r="F38" s="109" t="s">
        <v>21</v>
      </c>
      <c r="G38" s="150">
        <v>2.75E-2</v>
      </c>
      <c r="H38" s="150"/>
      <c r="I38" s="137">
        <f t="shared" si="6"/>
        <v>0</v>
      </c>
      <c r="J38" s="138"/>
      <c r="K38" s="132"/>
      <c r="L38" s="130"/>
      <c r="M38" s="131"/>
      <c r="N38" s="80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x14ac:dyDescent="0.2">
      <c r="A39" s="95"/>
      <c r="B39" s="149" t="s">
        <v>73</v>
      </c>
      <c r="C39" s="149"/>
      <c r="D39" s="149"/>
      <c r="E39" s="149"/>
      <c r="F39" s="109" t="s">
        <v>21</v>
      </c>
      <c r="G39" s="150">
        <v>3.3000000000000002E-2</v>
      </c>
      <c r="H39" s="150"/>
      <c r="I39" s="137">
        <f t="shared" si="6"/>
        <v>0</v>
      </c>
      <c r="J39" s="138"/>
      <c r="K39" s="132"/>
      <c r="L39" s="130"/>
      <c r="M39" s="131"/>
      <c r="N39" s="80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x14ac:dyDescent="0.2">
      <c r="A40" s="95"/>
      <c r="B40" s="136" t="s">
        <v>80</v>
      </c>
      <c r="C40" s="112"/>
      <c r="D40" s="112"/>
      <c r="E40" s="112"/>
      <c r="F40" s="109" t="s">
        <v>21</v>
      </c>
      <c r="G40" s="146">
        <v>7.7446808510638304E-4</v>
      </c>
      <c r="H40" s="145"/>
      <c r="I40" s="137">
        <f t="shared" ref="I40:I47" si="7">ROUND((G40*AsphaltBinderChange),2)</f>
        <v>0</v>
      </c>
      <c r="J40" s="138"/>
      <c r="K40" s="132"/>
      <c r="L40" s="130"/>
      <c r="M40" s="131"/>
      <c r="N40" s="80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x14ac:dyDescent="0.2">
      <c r="A41" s="95"/>
      <c r="B41" s="135" t="s">
        <v>77</v>
      </c>
      <c r="C41" s="113"/>
      <c r="D41" s="113"/>
      <c r="E41" s="114"/>
      <c r="F41" s="109" t="s">
        <v>21</v>
      </c>
      <c r="G41" s="147">
        <v>1.5212765957446799E-3</v>
      </c>
      <c r="H41" s="148"/>
      <c r="I41" s="137">
        <f>ROUND((G41*AsphaltBinderChange),2)</f>
        <v>0</v>
      </c>
      <c r="J41" s="138"/>
      <c r="K41" s="132"/>
      <c r="L41" s="130"/>
      <c r="M41" s="131"/>
      <c r="N41" s="80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x14ac:dyDescent="0.2">
      <c r="A42" s="95"/>
      <c r="B42" s="135" t="s">
        <v>78</v>
      </c>
      <c r="C42" s="113"/>
      <c r="D42" s="113"/>
      <c r="E42" s="114"/>
      <c r="F42" s="109" t="s">
        <v>21</v>
      </c>
      <c r="G42" s="147">
        <v>1.2723404255319201E-3</v>
      </c>
      <c r="H42" s="148"/>
      <c r="I42" s="137">
        <f>ROUND((G42*AsphaltBinderChange),2)</f>
        <v>0</v>
      </c>
      <c r="J42" s="138"/>
      <c r="K42" s="132"/>
      <c r="L42" s="130"/>
      <c r="M42" s="131"/>
      <c r="N42" s="80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x14ac:dyDescent="0.2">
      <c r="A43" s="95"/>
      <c r="B43" s="135" t="s">
        <v>79</v>
      </c>
      <c r="C43" s="113"/>
      <c r="D43" s="113"/>
      <c r="E43" s="114"/>
      <c r="F43" s="115" t="s">
        <v>21</v>
      </c>
      <c r="G43" s="147">
        <v>1.3276595744680852E-3</v>
      </c>
      <c r="H43" s="148"/>
      <c r="I43" s="137">
        <f t="shared" si="7"/>
        <v>0</v>
      </c>
      <c r="J43" s="138"/>
      <c r="K43" s="132"/>
      <c r="L43" s="130"/>
      <c r="M43" s="131"/>
      <c r="N43" s="80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x14ac:dyDescent="0.2">
      <c r="A44" s="95"/>
      <c r="B44" s="116" t="s">
        <v>82</v>
      </c>
      <c r="C44" s="116"/>
      <c r="D44" s="116"/>
      <c r="E44" s="116"/>
      <c r="F44" s="109" t="s">
        <v>21</v>
      </c>
      <c r="G44" s="146">
        <v>1.9638297872340425E-3</v>
      </c>
      <c r="H44" s="145"/>
      <c r="I44" s="137">
        <f t="shared" si="7"/>
        <v>0</v>
      </c>
      <c r="J44" s="138"/>
      <c r="K44" s="132"/>
      <c r="L44" s="130"/>
      <c r="M44" s="131"/>
      <c r="N44" s="80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x14ac:dyDescent="0.2">
      <c r="A45" s="95"/>
      <c r="B45" s="139" t="s">
        <v>74</v>
      </c>
      <c r="C45" s="140"/>
      <c r="D45" s="140"/>
      <c r="E45" s="141"/>
      <c r="F45" s="109" t="s">
        <v>21</v>
      </c>
      <c r="G45" s="146">
        <v>7.2000000000000005E-4</v>
      </c>
      <c r="H45" s="145"/>
      <c r="I45" s="137">
        <f t="shared" si="7"/>
        <v>0</v>
      </c>
      <c r="J45" s="138"/>
      <c r="K45" s="132"/>
      <c r="L45" s="130"/>
      <c r="M45" s="131"/>
      <c r="N45" s="80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x14ac:dyDescent="0.2">
      <c r="A46" s="95"/>
      <c r="B46" s="139" t="s">
        <v>75</v>
      </c>
      <c r="C46" s="140"/>
      <c r="D46" s="140"/>
      <c r="E46" s="141"/>
      <c r="F46" s="109" t="s">
        <v>25</v>
      </c>
      <c r="G46" s="146">
        <v>0.08</v>
      </c>
      <c r="H46" s="162"/>
      <c r="I46" s="137">
        <f t="shared" si="7"/>
        <v>0</v>
      </c>
      <c r="J46" s="138"/>
      <c r="K46" s="132"/>
      <c r="L46" s="130"/>
      <c r="M46" s="131"/>
      <c r="N46" s="80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3" x14ac:dyDescent="0.2">
      <c r="A47" s="95"/>
      <c r="B47" s="139" t="s">
        <v>56</v>
      </c>
      <c r="C47" s="140"/>
      <c r="D47" s="140"/>
      <c r="E47" s="141"/>
      <c r="F47" s="109" t="s">
        <v>57</v>
      </c>
      <c r="G47" s="146">
        <v>2.8E-3</v>
      </c>
      <c r="H47" s="145"/>
      <c r="I47" s="137">
        <f t="shared" si="7"/>
        <v>0</v>
      </c>
      <c r="J47" s="138"/>
      <c r="K47" s="132"/>
      <c r="L47" s="130"/>
      <c r="M47" s="131"/>
      <c r="N47" s="80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ht="12.75" customHeight="1" x14ac:dyDescent="0.2">
      <c r="A48" s="95"/>
      <c r="B48" s="143" t="s">
        <v>76</v>
      </c>
      <c r="C48" s="140"/>
      <c r="D48" s="140"/>
      <c r="E48" s="141"/>
      <c r="F48" s="133" t="s">
        <v>21</v>
      </c>
      <c r="G48" s="144">
        <v>2.5999999999999999E-3</v>
      </c>
      <c r="H48" s="145"/>
      <c r="I48" s="137">
        <f>ROUND((G48*AsphaltBinderChange),2)</f>
        <v>0</v>
      </c>
      <c r="J48" s="138"/>
      <c r="K48" s="132"/>
      <c r="L48" s="130"/>
      <c r="M48" s="131"/>
      <c r="N48" s="80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</row>
    <row r="49" spans="1:33" x14ac:dyDescent="0.2">
      <c r="A49" s="95"/>
      <c r="B49" s="122" t="s">
        <v>31</v>
      </c>
      <c r="C49" s="123"/>
      <c r="D49" s="123"/>
      <c r="E49" s="123"/>
      <c r="F49" s="124"/>
      <c r="G49" s="125"/>
      <c r="H49" s="125"/>
      <c r="I49" s="126"/>
      <c r="J49" s="126"/>
      <c r="K49" s="127"/>
      <c r="L49" s="128"/>
      <c r="M49" s="102"/>
      <c r="N49" s="80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x14ac:dyDescent="0.2">
      <c r="A50" s="95"/>
      <c r="B50" s="122"/>
      <c r="C50" s="123"/>
      <c r="D50" s="123"/>
      <c r="E50" s="123"/>
      <c r="F50" s="124"/>
      <c r="G50" s="125"/>
      <c r="H50" s="125"/>
      <c r="I50" s="126"/>
      <c r="J50" s="126"/>
      <c r="K50" s="127"/>
      <c r="L50" s="128"/>
      <c r="M50" s="102"/>
      <c r="N50" s="80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x14ac:dyDescent="0.2">
      <c r="A51" s="95"/>
      <c r="B51" s="122"/>
      <c r="C51" s="123"/>
      <c r="D51" s="123"/>
      <c r="E51" s="123"/>
      <c r="F51" s="124"/>
      <c r="G51" s="125"/>
      <c r="H51" s="125"/>
      <c r="I51" s="126"/>
      <c r="J51" s="126"/>
      <c r="K51" s="127"/>
      <c r="L51" s="128"/>
      <c r="M51" s="102"/>
      <c r="N51" s="80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x14ac:dyDescent="0.2">
      <c r="A52" s="95"/>
      <c r="B52" s="122"/>
      <c r="C52" s="123"/>
      <c r="D52" s="123"/>
      <c r="E52" s="123"/>
      <c r="F52" s="124"/>
      <c r="G52" s="125"/>
      <c r="H52" s="125"/>
      <c r="I52" s="126"/>
      <c r="J52" s="126"/>
      <c r="K52" s="127"/>
      <c r="L52" s="128"/>
      <c r="M52" s="102"/>
      <c r="N52" s="80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</row>
    <row r="53" spans="1:33" x14ac:dyDescent="0.2">
      <c r="A53" s="95"/>
      <c r="B53" s="122"/>
      <c r="C53" s="123"/>
      <c r="D53" s="123"/>
      <c r="E53" s="123"/>
      <c r="F53" s="124"/>
      <c r="G53" s="125"/>
      <c r="H53" s="125"/>
      <c r="I53" s="126"/>
      <c r="J53" s="126"/>
      <c r="K53" s="127"/>
      <c r="L53" s="128"/>
      <c r="M53" s="102"/>
      <c r="N53" s="80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</row>
    <row r="54" spans="1:33" x14ac:dyDescent="0.2">
      <c r="A54" s="95"/>
      <c r="B54" s="122"/>
      <c r="C54" s="123"/>
      <c r="D54" s="123"/>
      <c r="E54" s="123"/>
      <c r="F54" s="124"/>
      <c r="G54" s="125"/>
      <c r="H54" s="125"/>
      <c r="I54" s="126"/>
      <c r="J54" s="126"/>
      <c r="K54" s="127"/>
      <c r="L54" s="128"/>
      <c r="M54" s="102"/>
      <c r="N54" s="80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</row>
    <row r="55" spans="1:33" x14ac:dyDescent="0.2">
      <c r="A55" s="95"/>
      <c r="B55" s="122"/>
      <c r="C55" s="123"/>
      <c r="D55" s="123"/>
      <c r="E55" s="123"/>
      <c r="F55" s="124"/>
      <c r="G55" s="125"/>
      <c r="H55" s="125"/>
      <c r="I55" s="126"/>
      <c r="J55" s="126"/>
      <c r="K55" s="127"/>
      <c r="L55" s="128"/>
      <c r="M55" s="102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</row>
    <row r="56" spans="1:33" x14ac:dyDescent="0.2">
      <c r="A56" s="95"/>
      <c r="B56" s="122"/>
      <c r="C56" s="123"/>
      <c r="D56" s="123"/>
      <c r="E56" s="123"/>
      <c r="F56" s="124"/>
      <c r="G56" s="125"/>
      <c r="H56" s="125"/>
      <c r="I56" s="126"/>
      <c r="J56" s="126"/>
      <c r="K56" s="127"/>
      <c r="L56" s="128"/>
      <c r="M56" s="102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</row>
    <row r="57" spans="1:33" x14ac:dyDescent="0.2">
      <c r="A57" s="95"/>
      <c r="B57" s="122"/>
      <c r="C57" s="123"/>
      <c r="D57" s="123"/>
      <c r="E57" s="123"/>
      <c r="F57" s="124"/>
      <c r="G57" s="125"/>
      <c r="H57" s="125"/>
      <c r="I57" s="126"/>
      <c r="J57" s="126"/>
      <c r="K57" s="127"/>
      <c r="L57" s="128"/>
      <c r="M57" s="102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ht="13.5" thickBot="1" x14ac:dyDescent="0.25">
      <c r="A58" s="96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3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ht="13.5" thickTop="1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x14ac:dyDescent="0.2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3" x14ac:dyDescent="0.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</row>
    <row r="62" spans="1:33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</row>
    <row r="63" spans="1:33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</row>
    <row r="64" spans="1:33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</row>
    <row r="65" spans="1:33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</row>
    <row r="67" spans="1:33" x14ac:dyDescent="0.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</row>
    <row r="68" spans="1:33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x14ac:dyDescent="0.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</row>
    <row r="70" spans="1:33" x14ac:dyDescent="0.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</row>
    <row r="71" spans="1:33" x14ac:dyDescent="0.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</row>
    <row r="72" spans="1:33" x14ac:dyDescent="0.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</row>
    <row r="73" spans="1:33" x14ac:dyDescent="0.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</row>
    <row r="74" spans="1:33" x14ac:dyDescent="0.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</row>
    <row r="75" spans="1:33" x14ac:dyDescent="0.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</row>
    <row r="76" spans="1:33" x14ac:dyDescent="0.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</row>
    <row r="77" spans="1:33" x14ac:dyDescent="0.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</row>
    <row r="78" spans="1:33" x14ac:dyDescent="0.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</row>
    <row r="79" spans="1:33" x14ac:dyDescent="0.2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</row>
    <row r="80" spans="1:33" x14ac:dyDescent="0.2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</row>
    <row r="81" spans="1:33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</row>
    <row r="82" spans="1:33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</row>
    <row r="83" spans="1:33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</row>
    <row r="84" spans="1:33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</row>
    <row r="85" spans="1:33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</row>
    <row r="86" spans="1:33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</row>
    <row r="87" spans="1:33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</row>
    <row r="88" spans="1:33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</row>
    <row r="89" spans="1:33" x14ac:dyDescent="0.2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</row>
    <row r="90" spans="1:33" x14ac:dyDescent="0.2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</row>
    <row r="91" spans="1:33" x14ac:dyDescent="0.2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</row>
    <row r="92" spans="1:33" x14ac:dyDescent="0.2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</row>
    <row r="93" spans="1:33" x14ac:dyDescent="0.2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</row>
    <row r="94" spans="1:33" x14ac:dyDescent="0.2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</row>
  </sheetData>
  <sheetProtection algorithmName="SHA-512" hashValue="HESm5bsedRZco9I9hZyN45+W2sile4d97joP/FrN3WiELW3LJHKx2w7+/LX2ufmiczLO7Pz1WMACiClj8vEE5A==" saltValue="X5ZhPM4mPChzV+ssALgr3w==" spinCount="100000" sheet="1" objects="1" scenarios="1"/>
  <mergeCells count="70">
    <mergeCell ref="B6:E6"/>
    <mergeCell ref="L7:L8"/>
    <mergeCell ref="B11:E12"/>
    <mergeCell ref="F11:F12"/>
    <mergeCell ref="G11:H11"/>
    <mergeCell ref="I11:K11"/>
    <mergeCell ref="H6:K6"/>
    <mergeCell ref="B23:E23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17:E17"/>
    <mergeCell ref="B24:E24"/>
    <mergeCell ref="B25:E25"/>
    <mergeCell ref="B26:E26"/>
    <mergeCell ref="B27:E27"/>
    <mergeCell ref="B31:E32"/>
    <mergeCell ref="B28:E28"/>
    <mergeCell ref="I31:J32"/>
    <mergeCell ref="B33:E33"/>
    <mergeCell ref="G33:H33"/>
    <mergeCell ref="I33:J33"/>
    <mergeCell ref="G37:H37"/>
    <mergeCell ref="I37:J37"/>
    <mergeCell ref="G34:H34"/>
    <mergeCell ref="I34:J34"/>
    <mergeCell ref="F31:F32"/>
    <mergeCell ref="B37:E37"/>
    <mergeCell ref="B36:E36"/>
    <mergeCell ref="G36:H36"/>
    <mergeCell ref="I36:J36"/>
    <mergeCell ref="B35:E35"/>
    <mergeCell ref="B34:E34"/>
    <mergeCell ref="G35:H35"/>
    <mergeCell ref="B47:E47"/>
    <mergeCell ref="G47:H47"/>
    <mergeCell ref="B38:E38"/>
    <mergeCell ref="G38:H38"/>
    <mergeCell ref="I38:J38"/>
    <mergeCell ref="I42:J42"/>
    <mergeCell ref="G39:H39"/>
    <mergeCell ref="I39:J39"/>
    <mergeCell ref="B39:E39"/>
    <mergeCell ref="G45:H45"/>
    <mergeCell ref="I45:J45"/>
    <mergeCell ref="B46:E46"/>
    <mergeCell ref="G46:H46"/>
    <mergeCell ref="I46:J46"/>
    <mergeCell ref="I47:J47"/>
    <mergeCell ref="B45:E45"/>
    <mergeCell ref="I35:J35"/>
    <mergeCell ref="G31:H32"/>
    <mergeCell ref="B48:E48"/>
    <mergeCell ref="G48:H48"/>
    <mergeCell ref="I48:J48"/>
    <mergeCell ref="G40:H40"/>
    <mergeCell ref="G44:H44"/>
    <mergeCell ref="I44:J44"/>
    <mergeCell ref="G43:H43"/>
    <mergeCell ref="I40:J40"/>
    <mergeCell ref="G41:H41"/>
    <mergeCell ref="G42:H42"/>
    <mergeCell ref="I43:J43"/>
    <mergeCell ref="I41:J41"/>
  </mergeCells>
  <phoneticPr fontId="0" type="noConversion"/>
  <dataValidations count="1">
    <dataValidation type="list" allowBlank="1" showInputMessage="1" showErrorMessage="1" sqref="B8 H8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"/>
  <sheetViews>
    <sheetView zoomScale="130" zoomScaleNormal="130" workbookViewId="0">
      <pane ySplit="3" topLeftCell="A4" activePane="bottomLeft" state="frozen"/>
      <selection activeCell="N12" sqref="N12"/>
      <selection pane="bottomLeft" activeCell="D14" sqref="D14"/>
    </sheetView>
  </sheetViews>
  <sheetFormatPr defaultRowHeight="12.75" x14ac:dyDescent="0.2"/>
  <cols>
    <col min="2" max="2" width="9.7109375" bestFit="1" customWidth="1"/>
    <col min="3" max="3" width="10.710937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63" t="s">
        <v>0</v>
      </c>
      <c r="C2" s="163"/>
      <c r="D2" s="163"/>
      <c r="E2" s="163"/>
      <c r="F2" s="2"/>
    </row>
    <row r="3" spans="1:6" x14ac:dyDescent="0.2">
      <c r="A3" s="2"/>
      <c r="B3" s="3" t="s">
        <v>1</v>
      </c>
      <c r="C3" s="3" t="s">
        <v>2</v>
      </c>
      <c r="D3" s="3" t="s">
        <v>3</v>
      </c>
      <c r="E3" s="3" t="s">
        <v>4</v>
      </c>
      <c r="F3" s="2"/>
    </row>
    <row r="4" spans="1:6" s="134" customFormat="1" x14ac:dyDescent="0.2">
      <c r="A4" s="2"/>
      <c r="B4" s="4">
        <v>45658</v>
      </c>
      <c r="C4" s="59">
        <v>583.36</v>
      </c>
      <c r="D4" s="5">
        <v>2.5889000000000002</v>
      </c>
      <c r="E4" s="5">
        <v>2.2722224999999998</v>
      </c>
      <c r="F4" s="2"/>
    </row>
    <row r="5" spans="1:6" x14ac:dyDescent="0.2">
      <c r="B5" s="60"/>
      <c r="C5" s="60"/>
      <c r="D5" s="60"/>
      <c r="E5" s="60"/>
    </row>
    <row r="6" spans="1:6" x14ac:dyDescent="0.2">
      <c r="D6" s="70"/>
    </row>
  </sheetData>
  <sheetProtection algorithmName="SHA-512" hashValue="s9aoJkfX/DKGH71VvoUosYBJpsKIebTTllElVs/aObIj8OimUXyyXwBprd5W0PMYrnh8sG1m4OzuElx+JN20Bw==" saltValue="oQooLToAs18r3e217Xrzog==" spinCount="100000" sheet="1" objects="1" scenarios="1"/>
  <sortState ref="B23:E344">
    <sortCondition descending="1" ref="B23:B344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0"/>
  <sheetViews>
    <sheetView topLeftCell="A4" zoomScale="130" zoomScaleNormal="130" workbookViewId="0">
      <selection activeCell="J7" sqref="J7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8"/>
      <c r="B1" s="9"/>
      <c r="C1" s="9"/>
      <c r="D1" s="9"/>
      <c r="E1" s="9"/>
      <c r="F1" s="9"/>
      <c r="G1" s="9"/>
      <c r="H1" s="8"/>
      <c r="I1" s="8"/>
    </row>
    <row r="2" spans="1:9" ht="13.5" thickBot="1" x14ac:dyDescent="0.25">
      <c r="A2" s="8"/>
      <c r="B2" s="9"/>
      <c r="C2" s="9"/>
      <c r="D2" s="9"/>
      <c r="E2" s="9"/>
      <c r="F2" s="9"/>
      <c r="G2" s="9"/>
      <c r="H2" s="8"/>
      <c r="I2" s="8"/>
    </row>
    <row r="3" spans="1:9" ht="15.75" x14ac:dyDescent="0.25">
      <c r="A3" s="8"/>
      <c r="B3" s="164" t="s">
        <v>37</v>
      </c>
      <c r="C3" s="165"/>
      <c r="D3" s="165"/>
      <c r="E3" s="165"/>
      <c r="F3" s="165"/>
      <c r="G3" s="166"/>
      <c r="H3" s="8"/>
      <c r="I3" s="8"/>
    </row>
    <row r="4" spans="1:9" x14ac:dyDescent="0.2">
      <c r="A4" s="8"/>
      <c r="B4" s="10"/>
      <c r="C4" s="11"/>
      <c r="D4" s="11"/>
      <c r="E4" s="11"/>
      <c r="F4" s="11"/>
      <c r="G4" s="12"/>
      <c r="H4" s="8"/>
      <c r="I4" s="8"/>
    </row>
    <row r="5" spans="1:9" x14ac:dyDescent="0.2">
      <c r="A5" s="8"/>
      <c r="B5" s="10"/>
      <c r="C5" s="167" t="s">
        <v>38</v>
      </c>
      <c r="D5" s="168"/>
      <c r="E5" s="13">
        <f>DieselBase</f>
        <v>2.5889000000000002</v>
      </c>
      <c r="F5" s="11"/>
      <c r="G5" s="12"/>
      <c r="H5" s="8"/>
      <c r="I5" s="8"/>
    </row>
    <row r="6" spans="1:9" x14ac:dyDescent="0.2">
      <c r="A6" s="8"/>
      <c r="B6" s="10"/>
      <c r="C6" s="169" t="s">
        <v>39</v>
      </c>
      <c r="D6" s="170"/>
      <c r="E6" s="14">
        <f>DieselCurrent</f>
        <v>2.5889000000000002</v>
      </c>
      <c r="F6" s="11"/>
      <c r="G6" s="12"/>
      <c r="H6" s="8"/>
      <c r="I6" s="8"/>
    </row>
    <row r="7" spans="1:9" x14ac:dyDescent="0.2">
      <c r="A7" s="8"/>
      <c r="B7" s="10"/>
      <c r="C7" s="171" t="s">
        <v>40</v>
      </c>
      <c r="D7" s="172"/>
      <c r="E7" s="15">
        <f>VLOOKUP(E6,E12:G51,3)</f>
        <v>0</v>
      </c>
      <c r="F7" s="11"/>
      <c r="G7" s="12"/>
      <c r="H7" s="8"/>
      <c r="I7" s="8"/>
    </row>
    <row r="8" spans="1:9" x14ac:dyDescent="0.2">
      <c r="A8" s="8"/>
      <c r="B8" s="10"/>
      <c r="C8" s="11"/>
      <c r="D8" s="11"/>
      <c r="E8" s="11"/>
      <c r="F8" s="11"/>
      <c r="G8" s="12"/>
      <c r="H8" s="8"/>
      <c r="I8" s="8"/>
    </row>
    <row r="9" spans="1:9" x14ac:dyDescent="0.2">
      <c r="A9" s="8"/>
      <c r="B9" s="10"/>
      <c r="C9" s="11"/>
      <c r="D9" s="11"/>
      <c r="E9" s="11"/>
      <c r="F9" s="11"/>
      <c r="G9" s="12"/>
      <c r="H9" s="8"/>
      <c r="I9" s="8"/>
    </row>
    <row r="10" spans="1:9" x14ac:dyDescent="0.2">
      <c r="A10" s="8"/>
      <c r="B10" s="10"/>
      <c r="C10" s="11"/>
      <c r="D10" s="11"/>
      <c r="E10" s="11"/>
      <c r="F10" s="11"/>
      <c r="G10" s="12"/>
      <c r="H10" s="8"/>
      <c r="I10" s="8"/>
    </row>
    <row r="11" spans="1:9" ht="13.5" thickBot="1" x14ac:dyDescent="0.25">
      <c r="A11" s="8"/>
      <c r="B11" s="10"/>
      <c r="C11" s="11"/>
      <c r="D11" s="11"/>
      <c r="E11" s="11"/>
      <c r="F11" s="11"/>
      <c r="G11" s="12"/>
      <c r="H11" s="8"/>
      <c r="I11" s="8"/>
    </row>
    <row r="12" spans="1:9" x14ac:dyDescent="0.2">
      <c r="A12" s="8"/>
      <c r="B12" s="173" t="s">
        <v>41</v>
      </c>
      <c r="C12" s="48">
        <v>90</v>
      </c>
      <c r="D12" s="16">
        <v>100</v>
      </c>
      <c r="E12" s="37">
        <f>0*DieselBase</f>
        <v>0</v>
      </c>
      <c r="F12" s="17">
        <f>0.1*DieselBase-0.0001</f>
        <v>0.25879000000000002</v>
      </c>
      <c r="G12" s="18">
        <f>-0.9*DieselBase</f>
        <v>-2.3300100000000001</v>
      </c>
      <c r="H12" s="8"/>
      <c r="I12" s="8"/>
    </row>
    <row r="13" spans="1:9" x14ac:dyDescent="0.2">
      <c r="A13" s="8"/>
      <c r="B13" s="174"/>
      <c r="C13" s="49">
        <v>80</v>
      </c>
      <c r="D13" s="19">
        <v>90</v>
      </c>
      <c r="E13" s="39">
        <f>0.1*DieselBase</f>
        <v>0.25889000000000001</v>
      </c>
      <c r="F13" s="20">
        <f>0.2*DieselBase-0.0001</f>
        <v>0.51768000000000003</v>
      </c>
      <c r="G13" s="21">
        <f>-0.8*DieselBase</f>
        <v>-2.0711200000000001</v>
      </c>
      <c r="H13" s="8"/>
      <c r="I13" s="8"/>
    </row>
    <row r="14" spans="1:9" x14ac:dyDescent="0.2">
      <c r="A14" s="8"/>
      <c r="B14" s="174"/>
      <c r="C14" s="49">
        <v>70</v>
      </c>
      <c r="D14" s="19">
        <v>80</v>
      </c>
      <c r="E14" s="39">
        <f>0.2*DieselBase</f>
        <v>0.51778000000000002</v>
      </c>
      <c r="F14" s="20">
        <f>0.3*DieselBase-0.0001</f>
        <v>0.77657000000000009</v>
      </c>
      <c r="G14" s="21">
        <f>-0.7*DieselBase</f>
        <v>-1.81223</v>
      </c>
      <c r="H14" s="8"/>
      <c r="I14" s="8" t="s">
        <v>81</v>
      </c>
    </row>
    <row r="15" spans="1:9" x14ac:dyDescent="0.2">
      <c r="A15" s="8"/>
      <c r="B15" s="174"/>
      <c r="C15" s="49">
        <v>60</v>
      </c>
      <c r="D15" s="19">
        <v>70</v>
      </c>
      <c r="E15" s="39">
        <f>0.3*DieselBase</f>
        <v>0.77667000000000008</v>
      </c>
      <c r="F15" s="20">
        <f>0.4*DieselBase-0.0001</f>
        <v>1.03546</v>
      </c>
      <c r="G15" s="21">
        <f>-0.6*DieselBase</f>
        <v>-1.5533400000000002</v>
      </c>
      <c r="H15" s="8"/>
      <c r="I15" s="8"/>
    </row>
    <row r="16" spans="1:9" x14ac:dyDescent="0.2">
      <c r="A16" s="8"/>
      <c r="B16" s="174"/>
      <c r="C16" s="49">
        <v>50</v>
      </c>
      <c r="D16" s="19">
        <v>60</v>
      </c>
      <c r="E16" s="39">
        <f>0.4*DieselBase</f>
        <v>1.03556</v>
      </c>
      <c r="F16" s="20">
        <f>0.5*DieselBase-0.0001</f>
        <v>1.2943500000000001</v>
      </c>
      <c r="G16" s="21">
        <f>-0.5*DieselBase</f>
        <v>-1.2944500000000001</v>
      </c>
      <c r="H16" s="8"/>
      <c r="I16" s="8"/>
    </row>
    <row r="17" spans="1:9" x14ac:dyDescent="0.2">
      <c r="A17" s="8"/>
      <c r="B17" s="174"/>
      <c r="C17" s="49">
        <v>40</v>
      </c>
      <c r="D17" s="19">
        <v>50</v>
      </c>
      <c r="E17" s="39">
        <f>0.5*DieselBase</f>
        <v>1.2944500000000001</v>
      </c>
      <c r="F17" s="20">
        <f>0.6*DieselBase-0.0001</f>
        <v>1.5532400000000002</v>
      </c>
      <c r="G17" s="21">
        <f>-0.4*DieselBase</f>
        <v>-1.03556</v>
      </c>
      <c r="H17" s="8"/>
      <c r="I17" s="8"/>
    </row>
    <row r="18" spans="1:9" x14ac:dyDescent="0.2">
      <c r="A18" s="8"/>
      <c r="B18" s="174"/>
      <c r="C18" s="49">
        <v>30</v>
      </c>
      <c r="D18" s="19">
        <v>40</v>
      </c>
      <c r="E18" s="39">
        <f>0.6*DieselBase</f>
        <v>1.5533400000000002</v>
      </c>
      <c r="F18" s="20">
        <f>0.7*DieselBase-0.0001</f>
        <v>1.81213</v>
      </c>
      <c r="G18" s="21">
        <f>-0.3*DieselBase</f>
        <v>-0.77667000000000008</v>
      </c>
      <c r="H18" s="8"/>
      <c r="I18" s="8"/>
    </row>
    <row r="19" spans="1:9" x14ac:dyDescent="0.2">
      <c r="A19" s="8"/>
      <c r="B19" s="174"/>
      <c r="C19" s="49">
        <v>20</v>
      </c>
      <c r="D19" s="19">
        <v>30</v>
      </c>
      <c r="E19" s="39">
        <f>0.7*DieselBase</f>
        <v>1.81223</v>
      </c>
      <c r="F19" s="20">
        <f>0.8*DieselBase-0.0001</f>
        <v>2.0710199999999999</v>
      </c>
      <c r="G19" s="21">
        <f>-0.2*DieselBase</f>
        <v>-0.51778000000000002</v>
      </c>
      <c r="H19" s="8"/>
      <c r="I19" s="8"/>
    </row>
    <row r="20" spans="1:9" x14ac:dyDescent="0.2">
      <c r="A20" s="8"/>
      <c r="B20" s="174"/>
      <c r="C20" s="49">
        <v>10</v>
      </c>
      <c r="D20" s="19">
        <v>20</v>
      </c>
      <c r="E20" s="39">
        <f>0.8*DieselBase</f>
        <v>2.0711200000000001</v>
      </c>
      <c r="F20" s="20">
        <f>0.9*DieselBase-0.0001</f>
        <v>2.3299099999999999</v>
      </c>
      <c r="G20" s="21">
        <f>-0.1*DieselBase</f>
        <v>-0.25889000000000001</v>
      </c>
      <c r="H20" s="8"/>
      <c r="I20" s="8"/>
    </row>
    <row r="21" spans="1:9" x14ac:dyDescent="0.2">
      <c r="A21" s="8"/>
      <c r="B21" s="178"/>
      <c r="C21" s="50">
        <v>0</v>
      </c>
      <c r="D21" s="40">
        <v>10</v>
      </c>
      <c r="E21" s="41">
        <f>0.9*DieselBase</f>
        <v>2.3300100000000001</v>
      </c>
      <c r="F21" s="42">
        <f>1*DieselBase-0.0001</f>
        <v>2.5888</v>
      </c>
      <c r="G21" s="43">
        <f>0*DieselBase</f>
        <v>0</v>
      </c>
      <c r="H21" s="8"/>
      <c r="I21" s="8"/>
    </row>
    <row r="22" spans="1:9" x14ac:dyDescent="0.2">
      <c r="A22" s="8"/>
      <c r="B22" s="179" t="s">
        <v>42</v>
      </c>
      <c r="C22" s="51">
        <v>0</v>
      </c>
      <c r="D22" s="44">
        <v>10</v>
      </c>
      <c r="E22" s="45">
        <f>1*DieselBase</f>
        <v>2.5889000000000002</v>
      </c>
      <c r="F22" s="46">
        <f>1.1*DieselBase</f>
        <v>2.8477900000000003</v>
      </c>
      <c r="G22" s="47">
        <f>0*DieselBase</f>
        <v>0</v>
      </c>
      <c r="H22" s="8"/>
      <c r="I22" s="8"/>
    </row>
    <row r="23" spans="1:9" x14ac:dyDescent="0.2">
      <c r="A23" s="8"/>
      <c r="B23" s="174"/>
      <c r="C23" s="49">
        <v>10</v>
      </c>
      <c r="D23" s="19">
        <v>20</v>
      </c>
      <c r="E23" s="38">
        <f>1.1*DieselBase+0.0001</f>
        <v>2.8478900000000005</v>
      </c>
      <c r="F23" s="20">
        <f>1.2*DieselBase</f>
        <v>3.1066800000000003</v>
      </c>
      <c r="G23" s="21">
        <f>0.1*DieselBase</f>
        <v>0.25889000000000001</v>
      </c>
      <c r="H23" s="8"/>
      <c r="I23" s="8"/>
    </row>
    <row r="24" spans="1:9" x14ac:dyDescent="0.2">
      <c r="A24" s="8"/>
      <c r="B24" s="174"/>
      <c r="C24" s="49">
        <v>20</v>
      </c>
      <c r="D24" s="19">
        <v>30</v>
      </c>
      <c r="E24" s="38">
        <f>1.2*DieselBase+0.0001</f>
        <v>3.1067800000000005</v>
      </c>
      <c r="F24" s="20">
        <f>1.3*DieselBase</f>
        <v>3.3655700000000004</v>
      </c>
      <c r="G24" s="21">
        <f>0.2*DieselBase</f>
        <v>0.51778000000000002</v>
      </c>
      <c r="H24" s="8"/>
      <c r="I24" s="8"/>
    </row>
    <row r="25" spans="1:9" x14ac:dyDescent="0.2">
      <c r="A25" s="8"/>
      <c r="B25" s="174"/>
      <c r="C25" s="49">
        <v>30</v>
      </c>
      <c r="D25" s="19">
        <v>40</v>
      </c>
      <c r="E25" s="38">
        <f>1.3*DieselBase+0.0001</f>
        <v>3.3656700000000006</v>
      </c>
      <c r="F25" s="20">
        <f>1.4*DieselBase</f>
        <v>3.62446</v>
      </c>
      <c r="G25" s="21">
        <f>0.3*DieselBase</f>
        <v>0.77667000000000008</v>
      </c>
      <c r="H25" s="8"/>
      <c r="I25" s="8"/>
    </row>
    <row r="26" spans="1:9" x14ac:dyDescent="0.2">
      <c r="A26" s="8"/>
      <c r="B26" s="174"/>
      <c r="C26" s="49">
        <v>40</v>
      </c>
      <c r="D26" s="19">
        <v>50</v>
      </c>
      <c r="E26" s="38">
        <f>1.4*DieselBase+0.0001</f>
        <v>3.6245600000000002</v>
      </c>
      <c r="F26" s="20">
        <f>1.5*DieselBase</f>
        <v>3.8833500000000001</v>
      </c>
      <c r="G26" s="21">
        <f>0.4*DieselBase</f>
        <v>1.03556</v>
      </c>
      <c r="H26" s="8"/>
      <c r="I26" s="8"/>
    </row>
    <row r="27" spans="1:9" x14ac:dyDescent="0.2">
      <c r="A27" s="8"/>
      <c r="B27" s="174"/>
      <c r="C27" s="49">
        <v>50</v>
      </c>
      <c r="D27" s="19">
        <v>60</v>
      </c>
      <c r="E27" s="38">
        <f>1.5*DieselBase+0.0001</f>
        <v>3.8834500000000003</v>
      </c>
      <c r="F27" s="20">
        <f>1.6*DieselBase</f>
        <v>4.1422400000000001</v>
      </c>
      <c r="G27" s="21">
        <f>0.5*DieselBase</f>
        <v>1.2944500000000001</v>
      </c>
      <c r="H27" s="8"/>
      <c r="I27" s="8"/>
    </row>
    <row r="28" spans="1:9" x14ac:dyDescent="0.2">
      <c r="A28" s="8"/>
      <c r="B28" s="174"/>
      <c r="C28" s="49">
        <v>60</v>
      </c>
      <c r="D28" s="19">
        <v>70</v>
      </c>
      <c r="E28" s="38">
        <f>1.6*DieselBase+0.0001</f>
        <v>4.1423399999999999</v>
      </c>
      <c r="F28" s="20">
        <f>1.7*DieselBase</f>
        <v>4.4011300000000002</v>
      </c>
      <c r="G28" s="21">
        <f>0.6*DieselBase</f>
        <v>1.5533400000000002</v>
      </c>
      <c r="H28" s="8"/>
      <c r="I28" s="8"/>
    </row>
    <row r="29" spans="1:9" x14ac:dyDescent="0.2">
      <c r="A29" s="8"/>
      <c r="B29" s="174"/>
      <c r="C29" s="49">
        <v>70</v>
      </c>
      <c r="D29" s="19">
        <v>80</v>
      </c>
      <c r="E29" s="38">
        <f>1.7*DieselBase+0.0001</f>
        <v>4.40123</v>
      </c>
      <c r="F29" s="20">
        <f>1.8*DieselBase</f>
        <v>4.6600200000000003</v>
      </c>
      <c r="G29" s="21">
        <f>0.7*DieselBase</f>
        <v>1.81223</v>
      </c>
      <c r="H29" s="8"/>
      <c r="I29" s="8"/>
    </row>
    <row r="30" spans="1:9" x14ac:dyDescent="0.2">
      <c r="A30" s="8"/>
      <c r="B30" s="174"/>
      <c r="C30" s="49">
        <v>80</v>
      </c>
      <c r="D30" s="19">
        <v>90</v>
      </c>
      <c r="E30" s="38">
        <f>1.8*DieselBase+0.0001</f>
        <v>4.66012</v>
      </c>
      <c r="F30" s="20">
        <f>1.9*DieselBase</f>
        <v>4.9189100000000003</v>
      </c>
      <c r="G30" s="21">
        <f>0.8*DieselBase</f>
        <v>2.0711200000000001</v>
      </c>
      <c r="H30" s="8"/>
      <c r="I30" s="8"/>
    </row>
    <row r="31" spans="1:9" x14ac:dyDescent="0.2">
      <c r="A31" s="8"/>
      <c r="B31" s="174"/>
      <c r="C31" s="49">
        <v>90</v>
      </c>
      <c r="D31" s="19">
        <v>100</v>
      </c>
      <c r="E31" s="38">
        <f>1.9*DieselBase+0.0001</f>
        <v>4.9190100000000001</v>
      </c>
      <c r="F31" s="20">
        <f>2*DieselBase</f>
        <v>5.1778000000000004</v>
      </c>
      <c r="G31" s="21">
        <f>0.9*DieselBase</f>
        <v>2.3300100000000001</v>
      </c>
      <c r="H31" s="8"/>
      <c r="I31" s="8"/>
    </row>
    <row r="32" spans="1:9" x14ac:dyDescent="0.2">
      <c r="A32" s="8"/>
      <c r="B32" s="174"/>
      <c r="C32" s="49">
        <v>100</v>
      </c>
      <c r="D32" s="19">
        <v>110</v>
      </c>
      <c r="E32" s="38">
        <f>2*DieselBase+0.0001</f>
        <v>5.1779000000000002</v>
      </c>
      <c r="F32" s="20">
        <f>2.1*DieselBase</f>
        <v>5.4366900000000005</v>
      </c>
      <c r="G32" s="21">
        <f>1*DieselBase</f>
        <v>2.5889000000000002</v>
      </c>
      <c r="H32" s="8"/>
      <c r="I32" s="8"/>
    </row>
    <row r="33" spans="1:9" x14ac:dyDescent="0.2">
      <c r="A33" s="8"/>
      <c r="B33" s="174"/>
      <c r="C33" s="49">
        <v>110</v>
      </c>
      <c r="D33" s="19">
        <v>120</v>
      </c>
      <c r="E33" s="38">
        <f>2.1*DieselBase+0.0001</f>
        <v>5.4367900000000002</v>
      </c>
      <c r="F33" s="20">
        <f>2.2*DieselBase</f>
        <v>5.6955800000000005</v>
      </c>
      <c r="G33" s="21">
        <f>1.1*DieselBase</f>
        <v>2.8477900000000003</v>
      </c>
      <c r="H33" s="8"/>
      <c r="I33" s="8"/>
    </row>
    <row r="34" spans="1:9" x14ac:dyDescent="0.2">
      <c r="A34" s="8"/>
      <c r="B34" s="174"/>
      <c r="C34" s="49">
        <v>120</v>
      </c>
      <c r="D34" s="19">
        <v>130</v>
      </c>
      <c r="E34" s="38">
        <f>2.2*DieselBase+0.0001</f>
        <v>5.6956800000000003</v>
      </c>
      <c r="F34" s="20">
        <f>2.3*DieselBase</f>
        <v>5.9544699999999997</v>
      </c>
      <c r="G34" s="21">
        <f>1.2*DieselBase</f>
        <v>3.1066800000000003</v>
      </c>
      <c r="H34" s="8"/>
      <c r="I34" s="8"/>
    </row>
    <row r="35" spans="1:9" x14ac:dyDescent="0.2">
      <c r="A35" s="8"/>
      <c r="B35" s="174"/>
      <c r="C35" s="49">
        <v>130</v>
      </c>
      <c r="D35" s="19">
        <v>140</v>
      </c>
      <c r="E35" s="38">
        <f>2.3*DieselBase+0.0001</f>
        <v>5.9545699999999995</v>
      </c>
      <c r="F35" s="20">
        <f>2.4*DieselBase</f>
        <v>6.2133600000000007</v>
      </c>
      <c r="G35" s="21">
        <f>1.3*DieselBase</f>
        <v>3.3655700000000004</v>
      </c>
      <c r="H35" s="8"/>
      <c r="I35" s="8"/>
    </row>
    <row r="36" spans="1:9" x14ac:dyDescent="0.2">
      <c r="A36" s="8"/>
      <c r="B36" s="174"/>
      <c r="C36" s="49">
        <v>140</v>
      </c>
      <c r="D36" s="19">
        <v>150</v>
      </c>
      <c r="E36" s="38">
        <f>2.4*DieselBase+0.0001</f>
        <v>6.2134600000000004</v>
      </c>
      <c r="F36" s="20">
        <f>2.5*DieselBase</f>
        <v>6.4722500000000007</v>
      </c>
      <c r="G36" s="21">
        <f>1.4*DieselBase</f>
        <v>3.62446</v>
      </c>
      <c r="H36" s="8"/>
      <c r="I36" s="8"/>
    </row>
    <row r="37" spans="1:9" x14ac:dyDescent="0.2">
      <c r="A37" s="8"/>
      <c r="B37" s="174"/>
      <c r="C37" s="49">
        <v>150</v>
      </c>
      <c r="D37" s="19">
        <v>160</v>
      </c>
      <c r="E37" s="38">
        <f>2.5*DieselBase+0.0001</f>
        <v>6.4723500000000005</v>
      </c>
      <c r="F37" s="20">
        <f>2.6*DieselBase</f>
        <v>6.7311400000000008</v>
      </c>
      <c r="G37" s="21">
        <f>1.5*DieselBase</f>
        <v>3.8833500000000001</v>
      </c>
      <c r="H37" s="8"/>
      <c r="I37" s="8"/>
    </row>
    <row r="38" spans="1:9" x14ac:dyDescent="0.2">
      <c r="A38" s="8"/>
      <c r="B38" s="174"/>
      <c r="C38" s="49">
        <v>160</v>
      </c>
      <c r="D38" s="19">
        <v>170</v>
      </c>
      <c r="E38" s="38">
        <f>2.6*DieselBase+0.0001</f>
        <v>6.7312400000000006</v>
      </c>
      <c r="F38" s="20">
        <f>2.7*DieselBase</f>
        <v>6.9900300000000009</v>
      </c>
      <c r="G38" s="21">
        <f>1.6*DieselBase</f>
        <v>4.1422400000000001</v>
      </c>
      <c r="H38" s="8"/>
      <c r="I38" s="8"/>
    </row>
    <row r="39" spans="1:9" x14ac:dyDescent="0.2">
      <c r="A39" s="8"/>
      <c r="B39" s="174"/>
      <c r="C39" s="49">
        <v>170</v>
      </c>
      <c r="D39" s="19">
        <v>180</v>
      </c>
      <c r="E39" s="38">
        <f>2.7*DieselBase+0.0001</f>
        <v>6.9901300000000006</v>
      </c>
      <c r="F39" s="20">
        <f>2.8*DieselBase</f>
        <v>7.24892</v>
      </c>
      <c r="G39" s="21">
        <f>1.7*DieselBase</f>
        <v>4.4011300000000002</v>
      </c>
      <c r="H39" s="8"/>
      <c r="I39" s="8"/>
    </row>
    <row r="40" spans="1:9" x14ac:dyDescent="0.2">
      <c r="A40" s="8"/>
      <c r="B40" s="174"/>
      <c r="C40" s="49">
        <v>180</v>
      </c>
      <c r="D40" s="19">
        <v>190</v>
      </c>
      <c r="E40" s="38">
        <f>2.8*DieselBase+0.0001</f>
        <v>7.2490199999999998</v>
      </c>
      <c r="F40" s="20">
        <f>2.9*DieselBase</f>
        <v>7.5078100000000001</v>
      </c>
      <c r="G40" s="21">
        <f>1.8*DieselBase</f>
        <v>4.6600200000000003</v>
      </c>
      <c r="H40" s="8"/>
      <c r="I40" s="8"/>
    </row>
    <row r="41" spans="1:9" x14ac:dyDescent="0.2">
      <c r="A41" s="8"/>
      <c r="B41" s="174"/>
      <c r="C41" s="49">
        <v>190</v>
      </c>
      <c r="D41" s="19">
        <v>200</v>
      </c>
      <c r="E41" s="38">
        <f>2.9*DieselBase+0.0001</f>
        <v>7.5079099999999999</v>
      </c>
      <c r="F41" s="20">
        <f>3*DieselBase</f>
        <v>7.7667000000000002</v>
      </c>
      <c r="G41" s="21">
        <f>1.9*DieselBase</f>
        <v>4.9189100000000003</v>
      </c>
      <c r="H41" s="8"/>
      <c r="I41" s="8"/>
    </row>
    <row r="42" spans="1:9" x14ac:dyDescent="0.2">
      <c r="A42" s="8"/>
      <c r="B42" s="174"/>
      <c r="C42" s="49">
        <v>200</v>
      </c>
      <c r="D42" s="19">
        <v>210</v>
      </c>
      <c r="E42" s="38">
        <f>3*DieselBase+0.0001</f>
        <v>7.7667999999999999</v>
      </c>
      <c r="F42" s="20">
        <f>3.1*DieselBase</f>
        <v>8.0255900000000011</v>
      </c>
      <c r="G42" s="21">
        <f>2*DieselBase</f>
        <v>5.1778000000000004</v>
      </c>
      <c r="H42" s="8"/>
      <c r="I42" s="8"/>
    </row>
    <row r="43" spans="1:9" x14ac:dyDescent="0.2">
      <c r="A43" s="8"/>
      <c r="B43" s="174"/>
      <c r="C43" s="49">
        <v>210</v>
      </c>
      <c r="D43" s="19">
        <v>220</v>
      </c>
      <c r="E43" s="38">
        <f>3.1*DieselBase+0.0001</f>
        <v>8.0256900000000009</v>
      </c>
      <c r="F43" s="20">
        <f>3.2*DieselBase</f>
        <v>8.2844800000000003</v>
      </c>
      <c r="G43" s="21">
        <f>2.1*DieselBase</f>
        <v>5.4366900000000005</v>
      </c>
      <c r="H43" s="8"/>
      <c r="I43" s="8"/>
    </row>
    <row r="44" spans="1:9" x14ac:dyDescent="0.2">
      <c r="A44" s="8"/>
      <c r="B44" s="174"/>
      <c r="C44" s="49">
        <v>220</v>
      </c>
      <c r="D44" s="19">
        <v>230</v>
      </c>
      <c r="E44" s="38">
        <f>3.2*DieselBase+0.0001</f>
        <v>8.2845800000000001</v>
      </c>
      <c r="F44" s="20">
        <f>3.3*DieselBase</f>
        <v>8.5433699999999995</v>
      </c>
      <c r="G44" s="21">
        <f>2.2*DieselBase</f>
        <v>5.6955800000000005</v>
      </c>
      <c r="H44" s="8"/>
      <c r="I44" s="8"/>
    </row>
    <row r="45" spans="1:9" x14ac:dyDescent="0.2">
      <c r="A45" s="8"/>
      <c r="B45" s="174"/>
      <c r="C45" s="49">
        <v>230</v>
      </c>
      <c r="D45" s="19">
        <v>240</v>
      </c>
      <c r="E45" s="38">
        <f>3.3*DieselBase+0.0001</f>
        <v>8.5434699999999992</v>
      </c>
      <c r="F45" s="20">
        <f>3.4*DieselBase</f>
        <v>8.8022600000000004</v>
      </c>
      <c r="G45" s="21">
        <f>2.3*DieselBase</f>
        <v>5.9544699999999997</v>
      </c>
      <c r="H45" s="8"/>
      <c r="I45" s="8"/>
    </row>
    <row r="46" spans="1:9" x14ac:dyDescent="0.2">
      <c r="A46" s="8"/>
      <c r="B46" s="174"/>
      <c r="C46" s="49">
        <v>240</v>
      </c>
      <c r="D46" s="19">
        <v>250</v>
      </c>
      <c r="E46" s="38">
        <f>3.4*DieselBase+0.0001</f>
        <v>8.8023600000000002</v>
      </c>
      <c r="F46" s="20">
        <f>3.5*DieselBase</f>
        <v>9.0611500000000014</v>
      </c>
      <c r="G46" s="21">
        <f>2.4*DieselBase</f>
        <v>6.2133600000000007</v>
      </c>
      <c r="H46" s="8"/>
      <c r="I46" s="8"/>
    </row>
    <row r="47" spans="1:9" x14ac:dyDescent="0.2">
      <c r="A47" s="8"/>
      <c r="B47" s="174"/>
      <c r="C47" s="49">
        <v>250</v>
      </c>
      <c r="D47" s="19">
        <v>260</v>
      </c>
      <c r="E47" s="38">
        <f>3.5*DieselBase+0.0001</f>
        <v>9.0612500000000011</v>
      </c>
      <c r="F47" s="20">
        <f>3.6*DieselBase</f>
        <v>9.3200400000000005</v>
      </c>
      <c r="G47" s="21">
        <f>2.5*DieselBase</f>
        <v>6.4722500000000007</v>
      </c>
      <c r="H47" s="8"/>
      <c r="I47" s="8"/>
    </row>
    <row r="48" spans="1:9" x14ac:dyDescent="0.2">
      <c r="A48" s="8"/>
      <c r="B48" s="174"/>
      <c r="C48" s="49">
        <v>260</v>
      </c>
      <c r="D48" s="19">
        <v>270</v>
      </c>
      <c r="E48" s="38">
        <f>3.6*DieselBase+0.0001</f>
        <v>9.3201400000000003</v>
      </c>
      <c r="F48" s="20">
        <f>3.7*DieselBase</f>
        <v>9.5789300000000015</v>
      </c>
      <c r="G48" s="21">
        <f>2.6*DieselBase</f>
        <v>6.7311400000000008</v>
      </c>
      <c r="H48" s="8"/>
      <c r="I48" s="8"/>
    </row>
    <row r="49" spans="1:9" x14ac:dyDescent="0.2">
      <c r="A49" s="8"/>
      <c r="B49" s="174"/>
      <c r="C49" s="49">
        <v>270</v>
      </c>
      <c r="D49" s="19">
        <v>280</v>
      </c>
      <c r="E49" s="38">
        <f>3.7*DieselBase+0.0001</f>
        <v>9.5790300000000013</v>
      </c>
      <c r="F49" s="20">
        <f>3.8*DieselBase</f>
        <v>9.8378200000000007</v>
      </c>
      <c r="G49" s="21">
        <f>2.7*DieselBase</f>
        <v>6.9900300000000009</v>
      </c>
      <c r="H49" s="8"/>
      <c r="I49" s="8"/>
    </row>
    <row r="50" spans="1:9" x14ac:dyDescent="0.2">
      <c r="A50" s="8"/>
      <c r="B50" s="174"/>
      <c r="C50" s="49">
        <v>280</v>
      </c>
      <c r="D50" s="19">
        <v>290</v>
      </c>
      <c r="E50" s="38">
        <f>3.8*DieselBase+0.0001</f>
        <v>9.8379200000000004</v>
      </c>
      <c r="F50" s="20">
        <f>3.9*DieselBase</f>
        <v>10.09671</v>
      </c>
      <c r="G50" s="21">
        <f>2.8*DieselBase</f>
        <v>7.24892</v>
      </c>
      <c r="H50" s="8"/>
      <c r="I50" s="8"/>
    </row>
    <row r="51" spans="1:9" ht="13.5" thickBot="1" x14ac:dyDescent="0.25">
      <c r="A51" s="8"/>
      <c r="B51" s="177"/>
      <c r="C51" s="52">
        <v>290</v>
      </c>
      <c r="D51" s="22">
        <v>300</v>
      </c>
      <c r="E51" s="53">
        <f>3.9*DieselBase+0.0001</f>
        <v>10.09681</v>
      </c>
      <c r="F51" s="23">
        <f>4*DieselBase</f>
        <v>10.355600000000001</v>
      </c>
      <c r="G51" s="24">
        <f>2.9*DieselBase</f>
        <v>7.5078100000000001</v>
      </c>
      <c r="H51" s="8"/>
      <c r="I51" s="8"/>
    </row>
    <row r="52" spans="1:9" x14ac:dyDescent="0.2">
      <c r="A52" s="8"/>
      <c r="B52" s="25"/>
      <c r="C52" s="26"/>
      <c r="D52" s="26"/>
      <c r="E52" s="27"/>
      <c r="F52" s="27"/>
      <c r="G52" s="27"/>
      <c r="H52" s="8"/>
      <c r="I52" s="8"/>
    </row>
    <row r="53" spans="1:9" x14ac:dyDescent="0.2">
      <c r="A53" s="8"/>
      <c r="B53" s="25"/>
      <c r="C53" s="26"/>
      <c r="D53" s="26"/>
      <c r="E53" s="27"/>
      <c r="F53" s="27"/>
      <c r="G53" s="27"/>
      <c r="H53" s="8"/>
      <c r="I53" s="8"/>
    </row>
    <row r="54" spans="1:9" x14ac:dyDescent="0.2">
      <c r="A54" s="8"/>
      <c r="B54" s="25"/>
      <c r="C54" s="26"/>
      <c r="D54" s="26"/>
      <c r="E54" s="27"/>
      <c r="F54" s="27"/>
      <c r="G54" s="27"/>
      <c r="H54" s="8"/>
      <c r="I54" s="8"/>
    </row>
    <row r="55" spans="1:9" x14ac:dyDescent="0.2">
      <c r="A55" s="8"/>
      <c r="B55" s="25"/>
      <c r="C55" s="26"/>
      <c r="D55" s="26"/>
      <c r="E55" s="27"/>
      <c r="F55" s="27"/>
      <c r="G55" s="27"/>
      <c r="H55" s="8"/>
      <c r="I55" s="8"/>
    </row>
    <row r="56" spans="1:9" x14ac:dyDescent="0.2">
      <c r="A56" s="8"/>
      <c r="B56" s="9"/>
      <c r="C56" s="9"/>
      <c r="D56" s="9"/>
      <c r="E56" s="9"/>
      <c r="F56" s="9"/>
      <c r="G56" s="9"/>
      <c r="H56" s="8"/>
      <c r="I56" s="8"/>
    </row>
    <row r="57" spans="1:9" ht="13.5" thickBot="1" x14ac:dyDescent="0.25">
      <c r="A57" s="8"/>
      <c r="B57" s="9"/>
      <c r="C57" s="9"/>
      <c r="D57" s="9"/>
      <c r="E57" s="9"/>
      <c r="F57" s="9"/>
      <c r="G57" s="9"/>
      <c r="H57" s="8"/>
      <c r="I57" s="8"/>
    </row>
    <row r="58" spans="1:9" ht="15.75" x14ac:dyDescent="0.25">
      <c r="A58" s="8"/>
      <c r="B58" s="164" t="s">
        <v>43</v>
      </c>
      <c r="C58" s="165"/>
      <c r="D58" s="165"/>
      <c r="E58" s="165"/>
      <c r="F58" s="165"/>
      <c r="G58" s="166"/>
      <c r="H58" s="8"/>
      <c r="I58" s="8"/>
    </row>
    <row r="59" spans="1:9" x14ac:dyDescent="0.2">
      <c r="A59" s="8"/>
      <c r="B59" s="10"/>
      <c r="C59" s="11"/>
      <c r="D59" s="11"/>
      <c r="E59" s="11"/>
      <c r="F59" s="11"/>
      <c r="G59" s="12"/>
      <c r="H59" s="8"/>
      <c r="I59" s="8"/>
    </row>
    <row r="60" spans="1:9" x14ac:dyDescent="0.2">
      <c r="A60" s="8"/>
      <c r="B60" s="10"/>
      <c r="C60" s="167" t="s">
        <v>38</v>
      </c>
      <c r="D60" s="168"/>
      <c r="E60" s="13">
        <f>UnleadedBase</f>
        <v>2.2722224999999998</v>
      </c>
      <c r="F60" s="11"/>
      <c r="G60" s="12"/>
      <c r="H60" s="8"/>
      <c r="I60" s="8"/>
    </row>
    <row r="61" spans="1:9" x14ac:dyDescent="0.2">
      <c r="A61" s="8"/>
      <c r="B61" s="10"/>
      <c r="C61" s="169" t="s">
        <v>39</v>
      </c>
      <c r="D61" s="170"/>
      <c r="E61" s="14">
        <f>UnleadedCurrent</f>
        <v>2.2722224999999998</v>
      </c>
      <c r="F61" s="11"/>
      <c r="G61" s="12"/>
      <c r="H61" s="8"/>
      <c r="I61" s="8"/>
    </row>
    <row r="62" spans="1:9" x14ac:dyDescent="0.2">
      <c r="A62" s="8"/>
      <c r="B62" s="10"/>
      <c r="C62" s="171" t="s">
        <v>40</v>
      </c>
      <c r="D62" s="172"/>
      <c r="E62" s="15">
        <f>VLOOKUP(E61,E67:G106,3)</f>
        <v>0</v>
      </c>
      <c r="F62" s="11"/>
      <c r="G62" s="12"/>
      <c r="H62" s="8"/>
      <c r="I62" s="8"/>
    </row>
    <row r="63" spans="1:9" x14ac:dyDescent="0.2">
      <c r="A63" s="8"/>
      <c r="B63" s="10"/>
      <c r="C63" s="11"/>
      <c r="D63" s="11"/>
      <c r="E63" s="11"/>
      <c r="F63" s="11"/>
      <c r="G63" s="12"/>
      <c r="H63" s="8"/>
      <c r="I63" s="8"/>
    </row>
    <row r="64" spans="1:9" x14ac:dyDescent="0.2">
      <c r="A64" s="8"/>
      <c r="B64" s="10"/>
      <c r="C64" s="11"/>
      <c r="D64" s="11"/>
      <c r="E64" s="11"/>
      <c r="F64" s="11"/>
      <c r="G64" s="12"/>
      <c r="H64" s="8"/>
      <c r="I64" s="8"/>
    </row>
    <row r="65" spans="1:9" x14ac:dyDescent="0.2">
      <c r="A65" s="8"/>
      <c r="B65" s="10"/>
      <c r="C65" s="11"/>
      <c r="D65" s="11"/>
      <c r="E65" s="11"/>
      <c r="F65" s="11"/>
      <c r="G65" s="12"/>
      <c r="H65" s="8"/>
      <c r="I65" s="8"/>
    </row>
    <row r="66" spans="1:9" ht="13.5" thickBot="1" x14ac:dyDescent="0.25">
      <c r="A66" s="8"/>
      <c r="B66" s="10"/>
      <c r="C66" s="11"/>
      <c r="D66" s="11"/>
      <c r="E66" s="11"/>
      <c r="F66" s="11"/>
      <c r="G66" s="12"/>
      <c r="H66" s="8"/>
      <c r="I66" s="8"/>
    </row>
    <row r="67" spans="1:9" x14ac:dyDescent="0.2">
      <c r="A67" s="8"/>
      <c r="B67" s="173" t="s">
        <v>41</v>
      </c>
      <c r="C67" s="48">
        <v>90</v>
      </c>
      <c r="D67" s="16">
        <v>100</v>
      </c>
      <c r="E67" s="37">
        <f>0*UnleadedBase</f>
        <v>0</v>
      </c>
      <c r="F67" s="17">
        <f>0.1*UnleadedBase-0.0001</f>
        <v>0.22712225</v>
      </c>
      <c r="G67" s="18">
        <f>-0.9*UnleadedBase</f>
        <v>-2.0450002499999997</v>
      </c>
      <c r="H67" s="8"/>
      <c r="I67" s="8"/>
    </row>
    <row r="68" spans="1:9" x14ac:dyDescent="0.2">
      <c r="A68" s="8"/>
      <c r="B68" s="174"/>
      <c r="C68" s="49">
        <v>80</v>
      </c>
      <c r="D68" s="19">
        <v>90</v>
      </c>
      <c r="E68" s="39">
        <f>0.1*UnleadedBase</f>
        <v>0.22722224999999999</v>
      </c>
      <c r="F68" s="20">
        <f>0.2*UnleadedBase-0.0001</f>
        <v>0.45434449999999998</v>
      </c>
      <c r="G68" s="21">
        <f>-0.8*UnleadedBase</f>
        <v>-1.8177779999999999</v>
      </c>
      <c r="H68" s="8"/>
      <c r="I68" s="8"/>
    </row>
    <row r="69" spans="1:9" x14ac:dyDescent="0.2">
      <c r="A69" s="8"/>
      <c r="B69" s="174"/>
      <c r="C69" s="49">
        <v>70</v>
      </c>
      <c r="D69" s="19">
        <v>80</v>
      </c>
      <c r="E69" s="39">
        <f>0.2*UnleadedBase</f>
        <v>0.45444449999999997</v>
      </c>
      <c r="F69" s="20">
        <f>0.3*UnleadedBase-0.0001</f>
        <v>0.68156674999999989</v>
      </c>
      <c r="G69" s="21">
        <f>-0.7*UnleadedBase</f>
        <v>-1.5905557499999998</v>
      </c>
      <c r="H69" s="8"/>
      <c r="I69" s="8"/>
    </row>
    <row r="70" spans="1:9" x14ac:dyDescent="0.2">
      <c r="A70" s="8"/>
      <c r="B70" s="174"/>
      <c r="C70" s="49">
        <v>60</v>
      </c>
      <c r="D70" s="19">
        <v>70</v>
      </c>
      <c r="E70" s="39">
        <f>0.3*UnleadedBase</f>
        <v>0.68166674999999988</v>
      </c>
      <c r="F70" s="20">
        <f>0.4*UnleadedBase-0.0001</f>
        <v>0.90878899999999996</v>
      </c>
      <c r="G70" s="21">
        <f>-0.6*UnleadedBase</f>
        <v>-1.3633334999999998</v>
      </c>
      <c r="H70" s="8"/>
      <c r="I70" s="8"/>
    </row>
    <row r="71" spans="1:9" x14ac:dyDescent="0.2">
      <c r="A71" s="8"/>
      <c r="B71" s="174"/>
      <c r="C71" s="49">
        <v>50</v>
      </c>
      <c r="D71" s="19">
        <v>60</v>
      </c>
      <c r="E71" s="39">
        <f>0.4*UnleadedBase</f>
        <v>0.90888899999999995</v>
      </c>
      <c r="F71" s="20">
        <f>0.5*UnleadedBase-0.0001</f>
        <v>1.1360112499999999</v>
      </c>
      <c r="G71" s="21">
        <f>-0.5*UnleadedBase</f>
        <v>-1.1361112499999999</v>
      </c>
      <c r="H71" s="8"/>
      <c r="I71" s="8"/>
    </row>
    <row r="72" spans="1:9" x14ac:dyDescent="0.2">
      <c r="A72" s="8"/>
      <c r="B72" s="174"/>
      <c r="C72" s="49">
        <v>40</v>
      </c>
      <c r="D72" s="19">
        <v>50</v>
      </c>
      <c r="E72" s="39">
        <f>0.5*UnleadedBase</f>
        <v>1.1361112499999999</v>
      </c>
      <c r="F72" s="20">
        <f>0.6*UnleadedBase-0.0001</f>
        <v>1.3632334999999998</v>
      </c>
      <c r="G72" s="21">
        <f>-0.4*UnleadedBase</f>
        <v>-0.90888899999999995</v>
      </c>
      <c r="H72" s="8"/>
      <c r="I72" s="8"/>
    </row>
    <row r="73" spans="1:9" x14ac:dyDescent="0.2">
      <c r="A73" s="8"/>
      <c r="B73" s="174"/>
      <c r="C73" s="49">
        <v>30</v>
      </c>
      <c r="D73" s="19">
        <v>40</v>
      </c>
      <c r="E73" s="39">
        <f>0.6*UnleadedBase</f>
        <v>1.3633334999999998</v>
      </c>
      <c r="F73" s="20">
        <f>0.7*UnleadedBase-0.0001</f>
        <v>1.5904557499999998</v>
      </c>
      <c r="G73" s="21">
        <f>-0.3*UnleadedBase</f>
        <v>-0.68166674999999988</v>
      </c>
      <c r="H73" s="8"/>
      <c r="I73" s="8"/>
    </row>
    <row r="74" spans="1:9" x14ac:dyDescent="0.2">
      <c r="A74" s="8"/>
      <c r="B74" s="174"/>
      <c r="C74" s="49">
        <v>20</v>
      </c>
      <c r="D74" s="19">
        <v>30</v>
      </c>
      <c r="E74" s="39">
        <f>0.7*UnleadedBase</f>
        <v>1.5905557499999998</v>
      </c>
      <c r="F74" s="20">
        <f>0.8*UnleadedBase-0.0001</f>
        <v>1.8176779999999999</v>
      </c>
      <c r="G74" s="21">
        <f>-0.2*UnleadedBase</f>
        <v>-0.45444449999999997</v>
      </c>
      <c r="H74" s="8"/>
      <c r="I74" s="8"/>
    </row>
    <row r="75" spans="1:9" x14ac:dyDescent="0.2">
      <c r="A75" s="8"/>
      <c r="B75" s="174"/>
      <c r="C75" s="49">
        <v>10</v>
      </c>
      <c r="D75" s="19">
        <v>20</v>
      </c>
      <c r="E75" s="39">
        <f>0.8*UnleadedBase</f>
        <v>1.8177779999999999</v>
      </c>
      <c r="F75" s="20">
        <f>0.9*UnleadedBase-0.0001</f>
        <v>2.0449002499999995</v>
      </c>
      <c r="G75" s="21">
        <f>-0.1*UnleadedBase</f>
        <v>-0.22722224999999999</v>
      </c>
      <c r="H75" s="8"/>
      <c r="I75" s="8"/>
    </row>
    <row r="76" spans="1:9" x14ac:dyDescent="0.2">
      <c r="A76" s="8"/>
      <c r="B76" s="175"/>
      <c r="C76" s="56">
        <v>0</v>
      </c>
      <c r="D76" s="55">
        <v>10</v>
      </c>
      <c r="E76" s="41">
        <f>0.9*UnleadedBase</f>
        <v>2.0450002499999997</v>
      </c>
      <c r="F76" s="42">
        <f>1*UnleadedBase-0.0001</f>
        <v>2.2721224999999996</v>
      </c>
      <c r="G76" s="43">
        <f>0*UnleadedBase</f>
        <v>0</v>
      </c>
      <c r="H76" s="8"/>
      <c r="I76" s="8"/>
    </row>
    <row r="77" spans="1:9" x14ac:dyDescent="0.2">
      <c r="A77" s="8"/>
      <c r="B77" s="176" t="s">
        <v>42</v>
      </c>
      <c r="C77" s="57">
        <v>0</v>
      </c>
      <c r="D77" s="54">
        <v>10</v>
      </c>
      <c r="E77" s="45">
        <f>1*UnleadedBase</f>
        <v>2.2722224999999998</v>
      </c>
      <c r="F77" s="46">
        <f>1.1*UnleadedBase</f>
        <v>2.4994447499999999</v>
      </c>
      <c r="G77" s="47">
        <f>0*UnleadedBase</f>
        <v>0</v>
      </c>
      <c r="H77" s="8"/>
      <c r="I77" s="8"/>
    </row>
    <row r="78" spans="1:9" x14ac:dyDescent="0.2">
      <c r="A78" s="8"/>
      <c r="B78" s="174"/>
      <c r="C78" s="49">
        <v>10</v>
      </c>
      <c r="D78" s="19">
        <v>20</v>
      </c>
      <c r="E78" s="38">
        <f>1.1*UnleadedBase+0.0001</f>
        <v>2.4995447500000001</v>
      </c>
      <c r="F78" s="20">
        <f>1.2*UnleadedBase</f>
        <v>2.7266669999999995</v>
      </c>
      <c r="G78" s="21">
        <f>0.1*UnleadedBase</f>
        <v>0.22722224999999999</v>
      </c>
      <c r="H78" s="8"/>
      <c r="I78" s="8"/>
    </row>
    <row r="79" spans="1:9" x14ac:dyDescent="0.2">
      <c r="A79" s="8"/>
      <c r="B79" s="174"/>
      <c r="C79" s="49">
        <v>20</v>
      </c>
      <c r="D79" s="19">
        <v>30</v>
      </c>
      <c r="E79" s="38">
        <f>1.2*UnleadedBase+0.0001</f>
        <v>2.7267669999999997</v>
      </c>
      <c r="F79" s="20">
        <f>1.3*UnleadedBase</f>
        <v>2.95388925</v>
      </c>
      <c r="G79" s="21">
        <f>0.2*UnleadedBase</f>
        <v>0.45444449999999997</v>
      </c>
      <c r="H79" s="8"/>
      <c r="I79" s="8"/>
    </row>
    <row r="80" spans="1:9" x14ac:dyDescent="0.2">
      <c r="A80" s="8"/>
      <c r="B80" s="174"/>
      <c r="C80" s="49">
        <v>30</v>
      </c>
      <c r="D80" s="19">
        <v>40</v>
      </c>
      <c r="E80" s="38">
        <f>1.3*UnleadedBase+0.0001</f>
        <v>2.9539892500000002</v>
      </c>
      <c r="F80" s="20">
        <f>1.4*UnleadedBase</f>
        <v>3.1811114999999996</v>
      </c>
      <c r="G80" s="21">
        <f>0.3*UnleadedBase</f>
        <v>0.68166674999999988</v>
      </c>
      <c r="H80" s="8"/>
      <c r="I80" s="8"/>
    </row>
    <row r="81" spans="1:9" x14ac:dyDescent="0.2">
      <c r="A81" s="8"/>
      <c r="B81" s="174"/>
      <c r="C81" s="49">
        <v>40</v>
      </c>
      <c r="D81" s="19">
        <v>50</v>
      </c>
      <c r="E81" s="38">
        <f>1.4*UnleadedBase+0.0001</f>
        <v>3.1812114999999999</v>
      </c>
      <c r="F81" s="20">
        <f>1.5*UnleadedBase</f>
        <v>3.4083337499999997</v>
      </c>
      <c r="G81" s="21">
        <f>0.4*UnleadedBase</f>
        <v>0.90888899999999995</v>
      </c>
      <c r="H81" s="8"/>
      <c r="I81" s="8"/>
    </row>
    <row r="82" spans="1:9" x14ac:dyDescent="0.2">
      <c r="A82" s="8"/>
      <c r="B82" s="174"/>
      <c r="C82" s="49">
        <v>50</v>
      </c>
      <c r="D82" s="19">
        <v>60</v>
      </c>
      <c r="E82" s="38">
        <f>1.5*UnleadedBase+0.0001</f>
        <v>3.4084337499999999</v>
      </c>
      <c r="F82" s="20">
        <f>1.6*UnleadedBase</f>
        <v>3.6355559999999998</v>
      </c>
      <c r="G82" s="21">
        <f>0.5*UnleadedBase</f>
        <v>1.1361112499999999</v>
      </c>
      <c r="H82" s="8"/>
      <c r="I82" s="8"/>
    </row>
    <row r="83" spans="1:9" x14ac:dyDescent="0.2">
      <c r="A83" s="8"/>
      <c r="B83" s="174"/>
      <c r="C83" s="49">
        <v>60</v>
      </c>
      <c r="D83" s="19">
        <v>70</v>
      </c>
      <c r="E83" s="38">
        <f>1.6*UnleadedBase+0.0001</f>
        <v>3.635656</v>
      </c>
      <c r="F83" s="20">
        <f>1.7*UnleadedBase</f>
        <v>3.8627782499999994</v>
      </c>
      <c r="G83" s="21">
        <f>0.6*UnleadedBase</f>
        <v>1.3633334999999998</v>
      </c>
      <c r="H83" s="8"/>
      <c r="I83" s="8"/>
    </row>
    <row r="84" spans="1:9" x14ac:dyDescent="0.2">
      <c r="A84" s="8"/>
      <c r="B84" s="174"/>
      <c r="C84" s="49">
        <v>70</v>
      </c>
      <c r="D84" s="19">
        <v>80</v>
      </c>
      <c r="E84" s="38">
        <f>1.7*UnleadedBase+0.0001</f>
        <v>3.8628782499999996</v>
      </c>
      <c r="F84" s="20">
        <f>1.8*UnleadedBase</f>
        <v>4.0900004999999995</v>
      </c>
      <c r="G84" s="21">
        <f>0.7*UnleadedBase</f>
        <v>1.5905557499999998</v>
      </c>
      <c r="H84" s="8"/>
      <c r="I84" s="8"/>
    </row>
    <row r="85" spans="1:9" x14ac:dyDescent="0.2">
      <c r="A85" s="8"/>
      <c r="B85" s="174"/>
      <c r="C85" s="49">
        <v>80</v>
      </c>
      <c r="D85" s="19">
        <v>90</v>
      </c>
      <c r="E85" s="38">
        <f>1.8*UnleadedBase+0.0001</f>
        <v>4.0901004999999993</v>
      </c>
      <c r="F85" s="20">
        <f>1.9*UnleadedBase</f>
        <v>4.3172227499999991</v>
      </c>
      <c r="G85" s="21">
        <f>0.8*UnleadedBase</f>
        <v>1.8177779999999999</v>
      </c>
      <c r="H85" s="8"/>
      <c r="I85" s="8"/>
    </row>
    <row r="86" spans="1:9" x14ac:dyDescent="0.2">
      <c r="A86" s="8"/>
      <c r="B86" s="174"/>
      <c r="C86" s="49">
        <v>90</v>
      </c>
      <c r="D86" s="19">
        <v>100</v>
      </c>
      <c r="E86" s="38">
        <f>1.9*UnleadedBase+0.0001</f>
        <v>4.3173227499999989</v>
      </c>
      <c r="F86" s="20">
        <f>2*UnleadedBase</f>
        <v>4.5444449999999996</v>
      </c>
      <c r="G86" s="21">
        <f>0.9*UnleadedBase</f>
        <v>2.0450002499999997</v>
      </c>
      <c r="H86" s="8"/>
      <c r="I86" s="8"/>
    </row>
    <row r="87" spans="1:9" x14ac:dyDescent="0.2">
      <c r="A87" s="8"/>
      <c r="B87" s="174"/>
      <c r="C87" s="49">
        <v>100</v>
      </c>
      <c r="D87" s="19">
        <v>110</v>
      </c>
      <c r="E87" s="38">
        <f>2*UnleadedBase+0.0001</f>
        <v>4.5445449999999994</v>
      </c>
      <c r="F87" s="20">
        <f>2.1*UnleadedBase</f>
        <v>4.7716672500000001</v>
      </c>
      <c r="G87" s="21">
        <f>1*UnleadedBase</f>
        <v>2.2722224999999998</v>
      </c>
      <c r="H87" s="8"/>
      <c r="I87" s="8"/>
    </row>
    <row r="88" spans="1:9" x14ac:dyDescent="0.2">
      <c r="A88" s="8"/>
      <c r="B88" s="174"/>
      <c r="C88" s="49">
        <v>110</v>
      </c>
      <c r="D88" s="19">
        <v>120</v>
      </c>
      <c r="E88" s="38">
        <f>2.1*UnleadedBase+0.0001</f>
        <v>4.7717672499999999</v>
      </c>
      <c r="F88" s="20">
        <f>2.2*UnleadedBase</f>
        <v>4.9988894999999998</v>
      </c>
      <c r="G88" s="21">
        <f>1.1*UnleadedBase</f>
        <v>2.4994447499999999</v>
      </c>
      <c r="H88" s="8"/>
      <c r="I88" s="8"/>
    </row>
    <row r="89" spans="1:9" x14ac:dyDescent="0.2">
      <c r="A89" s="8"/>
      <c r="B89" s="174"/>
      <c r="C89" s="49">
        <v>120</v>
      </c>
      <c r="D89" s="19">
        <v>130</v>
      </c>
      <c r="E89" s="38">
        <f>2.2*UnleadedBase+0.0001</f>
        <v>4.9989894999999995</v>
      </c>
      <c r="F89" s="20">
        <f>2.3*UnleadedBase</f>
        <v>5.2261117499999994</v>
      </c>
      <c r="G89" s="21">
        <f>1.2*UnleadedBase</f>
        <v>2.7266669999999995</v>
      </c>
      <c r="H89" s="8"/>
      <c r="I89" s="8"/>
    </row>
    <row r="90" spans="1:9" x14ac:dyDescent="0.2">
      <c r="A90" s="8"/>
      <c r="B90" s="174"/>
      <c r="C90" s="49">
        <v>130</v>
      </c>
      <c r="D90" s="19">
        <v>140</v>
      </c>
      <c r="E90" s="38">
        <f>2.3*UnleadedBase+0.0001</f>
        <v>5.2262117499999992</v>
      </c>
      <c r="F90" s="20">
        <f>2.4*UnleadedBase</f>
        <v>5.453333999999999</v>
      </c>
      <c r="G90" s="21">
        <f>1.3*UnleadedBase</f>
        <v>2.95388925</v>
      </c>
      <c r="H90" s="8"/>
      <c r="I90" s="8"/>
    </row>
    <row r="91" spans="1:9" x14ac:dyDescent="0.2">
      <c r="A91" s="8"/>
      <c r="B91" s="174"/>
      <c r="C91" s="49">
        <v>140</v>
      </c>
      <c r="D91" s="19">
        <v>150</v>
      </c>
      <c r="E91" s="38">
        <f>2.4*UnleadedBase+0.0001</f>
        <v>5.4534339999999988</v>
      </c>
      <c r="F91" s="20">
        <f>2.5*UnleadedBase</f>
        <v>5.6805562499999995</v>
      </c>
      <c r="G91" s="21">
        <f>1.4*UnleadedBase</f>
        <v>3.1811114999999996</v>
      </c>
      <c r="H91" s="8"/>
      <c r="I91" s="8"/>
    </row>
    <row r="92" spans="1:9" x14ac:dyDescent="0.2">
      <c r="A92" s="8"/>
      <c r="B92" s="174"/>
      <c r="C92" s="49">
        <v>150</v>
      </c>
      <c r="D92" s="19">
        <v>160</v>
      </c>
      <c r="E92" s="38">
        <f>2.5*UnleadedBase+0.0001</f>
        <v>5.6806562499999993</v>
      </c>
      <c r="F92" s="20">
        <f>2.6*UnleadedBase</f>
        <v>5.9077785</v>
      </c>
      <c r="G92" s="21">
        <f>1.5*UnleadedBase</f>
        <v>3.4083337499999997</v>
      </c>
      <c r="H92" s="8"/>
      <c r="I92" s="8"/>
    </row>
    <row r="93" spans="1:9" x14ac:dyDescent="0.2">
      <c r="A93" s="8"/>
      <c r="B93" s="174"/>
      <c r="C93" s="49">
        <v>160</v>
      </c>
      <c r="D93" s="19">
        <v>170</v>
      </c>
      <c r="E93" s="38">
        <f>2.6*UnleadedBase+0.0001</f>
        <v>5.9078784999999998</v>
      </c>
      <c r="F93" s="20">
        <f>2.7*UnleadedBase</f>
        <v>6.1350007499999997</v>
      </c>
      <c r="G93" s="21">
        <f>1.6*UnleadedBase</f>
        <v>3.6355559999999998</v>
      </c>
      <c r="H93" s="8"/>
      <c r="I93" s="8"/>
    </row>
    <row r="94" spans="1:9" x14ac:dyDescent="0.2">
      <c r="A94" s="8"/>
      <c r="B94" s="174"/>
      <c r="C94" s="49">
        <v>170</v>
      </c>
      <c r="D94" s="19">
        <v>180</v>
      </c>
      <c r="E94" s="38">
        <f>2.7*UnleadedBase+0.0001</f>
        <v>6.1351007499999994</v>
      </c>
      <c r="F94" s="20">
        <f>2.8*UnleadedBase</f>
        <v>6.3622229999999993</v>
      </c>
      <c r="G94" s="21">
        <f>1.7*UnleadedBase</f>
        <v>3.8627782499999994</v>
      </c>
      <c r="H94" s="8"/>
      <c r="I94" s="8"/>
    </row>
    <row r="95" spans="1:9" x14ac:dyDescent="0.2">
      <c r="A95" s="8"/>
      <c r="B95" s="174"/>
      <c r="C95" s="49">
        <v>180</v>
      </c>
      <c r="D95" s="19">
        <v>190</v>
      </c>
      <c r="E95" s="38">
        <f>2.8*UnleadedBase+0.0001</f>
        <v>6.3623229999999991</v>
      </c>
      <c r="F95" s="20">
        <f>2.9*UnleadedBase</f>
        <v>6.5894452499999989</v>
      </c>
      <c r="G95" s="21">
        <f>1.8*UnleadedBase</f>
        <v>4.0900004999999995</v>
      </c>
      <c r="H95" s="8"/>
      <c r="I95" s="8"/>
    </row>
    <row r="96" spans="1:9" x14ac:dyDescent="0.2">
      <c r="A96" s="8"/>
      <c r="B96" s="174"/>
      <c r="C96" s="49">
        <v>190</v>
      </c>
      <c r="D96" s="19">
        <v>200</v>
      </c>
      <c r="E96" s="38">
        <f>2.9*UnleadedBase+0.0001</f>
        <v>6.5895452499999987</v>
      </c>
      <c r="F96" s="20">
        <f>3*UnleadedBase</f>
        <v>6.8166674999999994</v>
      </c>
      <c r="G96" s="21">
        <f>1.9*UnleadedBase</f>
        <v>4.3172227499999991</v>
      </c>
      <c r="H96" s="8"/>
      <c r="I96" s="8"/>
    </row>
    <row r="97" spans="1:9" x14ac:dyDescent="0.2">
      <c r="A97" s="8"/>
      <c r="B97" s="174"/>
      <c r="C97" s="49">
        <v>200</v>
      </c>
      <c r="D97" s="19">
        <v>210</v>
      </c>
      <c r="E97" s="38">
        <f>3*UnleadedBase+0.0001</f>
        <v>6.8167674999999992</v>
      </c>
      <c r="F97" s="20">
        <f>3.1*UnleadedBase</f>
        <v>7.0438897499999999</v>
      </c>
      <c r="G97" s="21">
        <f>2*UnleadedBase</f>
        <v>4.5444449999999996</v>
      </c>
      <c r="H97" s="8"/>
      <c r="I97" s="8"/>
    </row>
    <row r="98" spans="1:9" x14ac:dyDescent="0.2">
      <c r="A98" s="8"/>
      <c r="B98" s="174"/>
      <c r="C98" s="49">
        <v>210</v>
      </c>
      <c r="D98" s="19">
        <v>220</v>
      </c>
      <c r="E98" s="38">
        <f>3.1*UnleadedBase+0.0001</f>
        <v>7.0439897499999997</v>
      </c>
      <c r="F98" s="20">
        <f>3.2*UnleadedBase</f>
        <v>7.2711119999999996</v>
      </c>
      <c r="G98" s="21">
        <f>2.1*UnleadedBase</f>
        <v>4.7716672500000001</v>
      </c>
      <c r="H98" s="8"/>
      <c r="I98" s="8"/>
    </row>
    <row r="99" spans="1:9" x14ac:dyDescent="0.2">
      <c r="A99" s="8"/>
      <c r="B99" s="174"/>
      <c r="C99" s="49">
        <v>220</v>
      </c>
      <c r="D99" s="19">
        <v>230</v>
      </c>
      <c r="E99" s="38">
        <f>3.2*UnleadedBase+0.0001</f>
        <v>7.2712119999999993</v>
      </c>
      <c r="F99" s="20">
        <f>3.3*UnleadedBase</f>
        <v>7.4983342499999992</v>
      </c>
      <c r="G99" s="21">
        <f>2.2*UnleadedBase</f>
        <v>4.9988894999999998</v>
      </c>
      <c r="H99" s="8"/>
      <c r="I99" s="8"/>
    </row>
    <row r="100" spans="1:9" x14ac:dyDescent="0.2">
      <c r="A100" s="8"/>
      <c r="B100" s="174"/>
      <c r="C100" s="49">
        <v>230</v>
      </c>
      <c r="D100" s="19">
        <v>240</v>
      </c>
      <c r="E100" s="38">
        <f>3.3*UnleadedBase+0.0001</f>
        <v>7.498434249999999</v>
      </c>
      <c r="F100" s="20">
        <f>3.4*UnleadedBase</f>
        <v>7.7255564999999988</v>
      </c>
      <c r="G100" s="21">
        <f>2.3*UnleadedBase</f>
        <v>5.2261117499999994</v>
      </c>
      <c r="H100" s="8"/>
      <c r="I100" s="8"/>
    </row>
    <row r="101" spans="1:9" x14ac:dyDescent="0.2">
      <c r="A101" s="8"/>
      <c r="B101" s="174"/>
      <c r="C101" s="49">
        <v>240</v>
      </c>
      <c r="D101" s="19">
        <v>250</v>
      </c>
      <c r="E101" s="38">
        <f>3.4*UnleadedBase+0.0001</f>
        <v>7.7256564999999986</v>
      </c>
      <c r="F101" s="20">
        <f>3.5*UnleadedBase</f>
        <v>7.9527787499999993</v>
      </c>
      <c r="G101" s="21">
        <f>2.4*UnleadedBase</f>
        <v>5.453333999999999</v>
      </c>
      <c r="H101" s="8"/>
      <c r="I101" s="8"/>
    </row>
    <row r="102" spans="1:9" x14ac:dyDescent="0.2">
      <c r="A102" s="8"/>
      <c r="B102" s="174"/>
      <c r="C102" s="49">
        <v>250</v>
      </c>
      <c r="D102" s="19">
        <v>260</v>
      </c>
      <c r="E102" s="38">
        <f>3.5*UnleadedBase+0.0001</f>
        <v>7.9528787499999991</v>
      </c>
      <c r="F102" s="20">
        <f>3.6*UnleadedBase</f>
        <v>8.180000999999999</v>
      </c>
      <c r="G102" s="21">
        <f>2.5*UnleadedBase</f>
        <v>5.6805562499999995</v>
      </c>
      <c r="H102" s="8"/>
      <c r="I102" s="8"/>
    </row>
    <row r="103" spans="1:9" x14ac:dyDescent="0.2">
      <c r="A103" s="8"/>
      <c r="B103" s="174"/>
      <c r="C103" s="49">
        <v>260</v>
      </c>
      <c r="D103" s="19">
        <v>270</v>
      </c>
      <c r="E103" s="38">
        <f>3.6*UnleadedBase+0.0001</f>
        <v>8.1801009999999987</v>
      </c>
      <c r="F103" s="20">
        <f>3.7*UnleadedBase</f>
        <v>8.4072232499999995</v>
      </c>
      <c r="G103" s="21">
        <f>2.6*UnleadedBase</f>
        <v>5.9077785</v>
      </c>
      <c r="H103" s="8"/>
      <c r="I103" s="8"/>
    </row>
    <row r="104" spans="1:9" x14ac:dyDescent="0.2">
      <c r="A104" s="8"/>
      <c r="B104" s="174"/>
      <c r="C104" s="49">
        <v>270</v>
      </c>
      <c r="D104" s="19">
        <v>280</v>
      </c>
      <c r="E104" s="38">
        <f>3.7*UnleadedBase+0.0001</f>
        <v>8.4073232499999992</v>
      </c>
      <c r="F104" s="20">
        <f>3.8*UnleadedBase</f>
        <v>8.6344454999999982</v>
      </c>
      <c r="G104" s="21">
        <f>2.7*UnleadedBase</f>
        <v>6.1350007499999997</v>
      </c>
      <c r="H104" s="8"/>
      <c r="I104" s="8"/>
    </row>
    <row r="105" spans="1:9" x14ac:dyDescent="0.2">
      <c r="A105" s="8"/>
      <c r="B105" s="174"/>
      <c r="C105" s="49">
        <v>280</v>
      </c>
      <c r="D105" s="19">
        <v>290</v>
      </c>
      <c r="E105" s="38">
        <f>3.8*UnleadedBase+0.0001</f>
        <v>8.634545499999998</v>
      </c>
      <c r="F105" s="20">
        <f>3.9*UnleadedBase</f>
        <v>8.8616677499999987</v>
      </c>
      <c r="G105" s="21">
        <f>2.8*UnleadedBase</f>
        <v>6.3622229999999993</v>
      </c>
      <c r="H105" s="8"/>
      <c r="I105" s="8"/>
    </row>
    <row r="106" spans="1:9" ht="13.5" thickBot="1" x14ac:dyDescent="0.25">
      <c r="A106" s="8"/>
      <c r="B106" s="177"/>
      <c r="C106" s="52">
        <v>290</v>
      </c>
      <c r="D106" s="22">
        <v>300</v>
      </c>
      <c r="E106" s="53">
        <f>3.9*UnleadedBase+0.0001</f>
        <v>8.8617677499999985</v>
      </c>
      <c r="F106" s="23">
        <f>4*UnleadedBase</f>
        <v>9.0888899999999992</v>
      </c>
      <c r="G106" s="24">
        <f>2.9*UnleadedBase</f>
        <v>6.5894452499999989</v>
      </c>
      <c r="H106" s="8"/>
      <c r="I106" s="8"/>
    </row>
    <row r="107" spans="1:9" x14ac:dyDescent="0.2">
      <c r="A107" s="8"/>
      <c r="B107" s="25"/>
      <c r="C107" s="26"/>
      <c r="D107" s="26"/>
      <c r="E107" s="27"/>
      <c r="F107" s="27"/>
      <c r="G107" s="27"/>
      <c r="H107" s="8"/>
      <c r="I107" s="8"/>
    </row>
    <row r="108" spans="1:9" x14ac:dyDescent="0.2">
      <c r="A108" s="8"/>
      <c r="B108" s="25"/>
      <c r="C108" s="26"/>
      <c r="D108" s="26"/>
      <c r="E108" s="27"/>
      <c r="F108" s="27"/>
      <c r="G108" s="27"/>
      <c r="H108" s="8"/>
      <c r="I108" s="8"/>
    </row>
    <row r="109" spans="1:9" x14ac:dyDescent="0.2">
      <c r="A109" s="8"/>
      <c r="B109" s="25"/>
      <c r="C109" s="26"/>
      <c r="D109" s="26"/>
      <c r="E109" s="27"/>
      <c r="F109" s="27"/>
      <c r="G109" s="27"/>
      <c r="H109" s="8"/>
      <c r="I109" s="8"/>
    </row>
    <row r="110" spans="1:9" x14ac:dyDescent="0.2">
      <c r="A110" s="8"/>
      <c r="B110" s="25"/>
      <c r="C110" s="26"/>
      <c r="D110" s="26"/>
      <c r="E110" s="27"/>
      <c r="F110" s="27"/>
      <c r="G110" s="27"/>
      <c r="H110" s="8"/>
      <c r="I110" s="8"/>
    </row>
  </sheetData>
  <sheetProtection algorithmName="SHA-512" hashValue="2zvdgFTO1HckVd6ZqawuVnd+gGi2NRFQx4lb0swIRR/5uOV53HOF/oyqlJe/D4fQQWt4OI4803AgeTJJgMtaUQ==" saltValue="sz5Zdrms3Bms/saMjYKw4Q==" spinCount="100000" sheet="1" objects="1" scenarios="1"/>
  <mergeCells count="12">
    <mergeCell ref="B67:B76"/>
    <mergeCell ref="B77:B106"/>
    <mergeCell ref="B12:B21"/>
    <mergeCell ref="B22:B51"/>
    <mergeCell ref="B58:G58"/>
    <mergeCell ref="C60:D60"/>
    <mergeCell ref="C62:D62"/>
    <mergeCell ref="B3:G3"/>
    <mergeCell ref="C5:D5"/>
    <mergeCell ref="C6:D6"/>
    <mergeCell ref="C7:D7"/>
    <mergeCell ref="C61:D61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zoomScale="115" zoomScaleNormal="115" workbookViewId="0">
      <selection activeCell="J5" sqref="J5:J6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8"/>
      <c r="B1" s="9"/>
      <c r="C1" s="9"/>
      <c r="D1" s="9"/>
      <c r="E1" s="9"/>
      <c r="F1" s="9"/>
      <c r="G1" s="9"/>
      <c r="H1" s="8"/>
    </row>
    <row r="2" spans="1:8" ht="15.75" x14ac:dyDescent="0.25">
      <c r="A2" s="8"/>
      <c r="B2" s="187" t="s">
        <v>44</v>
      </c>
      <c r="C2" s="188"/>
      <c r="D2" s="188"/>
      <c r="E2" s="188"/>
      <c r="F2" s="188"/>
      <c r="G2" s="189"/>
      <c r="H2" s="8"/>
    </row>
    <row r="3" spans="1:8" x14ac:dyDescent="0.2">
      <c r="A3" s="8"/>
      <c r="B3" s="10"/>
      <c r="C3" s="11"/>
      <c r="D3" s="11"/>
      <c r="E3" s="11"/>
      <c r="F3" s="11"/>
      <c r="G3" s="12"/>
      <c r="H3" s="8"/>
    </row>
    <row r="4" spans="1:8" x14ac:dyDescent="0.2">
      <c r="A4" s="8"/>
      <c r="B4" s="10"/>
      <c r="C4" s="167" t="s">
        <v>38</v>
      </c>
      <c r="D4" s="168"/>
      <c r="E4" s="28">
        <f>AsphaltBinderBase</f>
        <v>583.36</v>
      </c>
      <c r="F4" s="11"/>
      <c r="G4" s="12"/>
      <c r="H4" s="8"/>
    </row>
    <row r="5" spans="1:8" x14ac:dyDescent="0.2">
      <c r="A5" s="8"/>
      <c r="B5" s="10"/>
      <c r="C5" s="169" t="s">
        <v>39</v>
      </c>
      <c r="D5" s="170"/>
      <c r="E5" s="28">
        <f>AsphaltBinderCurrent</f>
        <v>583.36</v>
      </c>
      <c r="F5" s="11"/>
      <c r="G5" s="12"/>
      <c r="H5" s="8"/>
    </row>
    <row r="6" spans="1:8" x14ac:dyDescent="0.2">
      <c r="A6" s="8"/>
      <c r="B6" s="10"/>
      <c r="C6" s="171" t="s">
        <v>40</v>
      </c>
      <c r="D6" s="172"/>
      <c r="E6" s="29">
        <f>VLOOKUP(E5,E11:G105,3)</f>
        <v>0</v>
      </c>
      <c r="F6" s="11"/>
      <c r="G6" s="12"/>
      <c r="H6" s="8"/>
    </row>
    <row r="7" spans="1:8" x14ac:dyDescent="0.2">
      <c r="A7" s="8"/>
      <c r="B7" s="10"/>
      <c r="C7" s="11"/>
      <c r="D7" s="11"/>
      <c r="E7" s="11"/>
      <c r="F7" s="11"/>
      <c r="G7" s="12"/>
      <c r="H7" s="8"/>
    </row>
    <row r="8" spans="1:8" x14ac:dyDescent="0.2">
      <c r="A8" s="8"/>
      <c r="B8" s="10"/>
      <c r="C8" s="11"/>
      <c r="D8" s="11"/>
      <c r="E8" s="11"/>
      <c r="F8" s="11"/>
      <c r="G8" s="12"/>
      <c r="H8" s="8"/>
    </row>
    <row r="9" spans="1:8" x14ac:dyDescent="0.2">
      <c r="A9" s="8"/>
      <c r="B9" s="10"/>
      <c r="C9" s="11"/>
      <c r="D9" s="11"/>
      <c r="E9" s="11"/>
      <c r="F9" s="11"/>
      <c r="G9" s="12"/>
      <c r="H9" s="8"/>
    </row>
    <row r="10" spans="1:8" x14ac:dyDescent="0.2">
      <c r="A10" s="8"/>
      <c r="B10" s="10"/>
      <c r="C10" s="11"/>
      <c r="D10" s="11"/>
      <c r="E10" s="11"/>
      <c r="F10" s="11"/>
      <c r="G10" s="12"/>
      <c r="H10" s="8"/>
    </row>
    <row r="11" spans="1:8" x14ac:dyDescent="0.2">
      <c r="A11" s="8"/>
      <c r="B11" s="184" t="s">
        <v>41</v>
      </c>
      <c r="C11" s="51">
        <v>95</v>
      </c>
      <c r="D11" s="44">
        <v>100</v>
      </c>
      <c r="E11" s="62">
        <f>0*AsphaltBinderBase</f>
        <v>0</v>
      </c>
      <c r="F11" s="62">
        <f>0.05*AsphaltBinderBase-0.01</f>
        <v>29.158000000000001</v>
      </c>
      <c r="G11" s="64">
        <f>-0.95*AsphaltBinderBase</f>
        <v>-554.19200000000001</v>
      </c>
      <c r="H11" s="8"/>
    </row>
    <row r="12" spans="1:8" x14ac:dyDescent="0.2">
      <c r="A12" s="8"/>
      <c r="B12" s="185"/>
      <c r="C12" s="49">
        <v>90</v>
      </c>
      <c r="D12" s="19">
        <v>95</v>
      </c>
      <c r="E12" s="30">
        <f>0.05*AsphaltBinderBase</f>
        <v>29.168000000000003</v>
      </c>
      <c r="F12" s="30">
        <f>0.1*AsphaltBinderBase-0.01</f>
        <v>58.326000000000008</v>
      </c>
      <c r="G12" s="66">
        <f>-0.9*AsphaltBinderBase</f>
        <v>-525.024</v>
      </c>
      <c r="H12" s="8"/>
    </row>
    <row r="13" spans="1:8" x14ac:dyDescent="0.2">
      <c r="A13" s="8"/>
      <c r="B13" s="185"/>
      <c r="C13" s="49">
        <v>85</v>
      </c>
      <c r="D13" s="19">
        <v>90</v>
      </c>
      <c r="E13" s="30">
        <f>0.1*AsphaltBinderBase</f>
        <v>58.336000000000006</v>
      </c>
      <c r="F13" s="30">
        <f>0.15*AsphaltBinderBase-0.01</f>
        <v>87.494</v>
      </c>
      <c r="G13" s="66">
        <f>-0.85*AsphaltBinderBase</f>
        <v>-495.85599999999999</v>
      </c>
      <c r="H13" s="8"/>
    </row>
    <row r="14" spans="1:8" x14ac:dyDescent="0.2">
      <c r="A14" s="8"/>
      <c r="B14" s="185"/>
      <c r="C14" s="49">
        <v>80</v>
      </c>
      <c r="D14" s="19">
        <v>85</v>
      </c>
      <c r="E14" s="30">
        <f>0.15*AsphaltBinderBase</f>
        <v>87.504000000000005</v>
      </c>
      <c r="F14" s="30">
        <f>0.2*AsphaltBinderBase-0.01</f>
        <v>116.66200000000001</v>
      </c>
      <c r="G14" s="66">
        <f>-0.8*AsphaltBinderBase</f>
        <v>-466.68800000000005</v>
      </c>
      <c r="H14" s="8"/>
    </row>
    <row r="15" spans="1:8" x14ac:dyDescent="0.2">
      <c r="A15" s="8"/>
      <c r="B15" s="185"/>
      <c r="C15" s="49">
        <v>75</v>
      </c>
      <c r="D15" s="19">
        <v>80</v>
      </c>
      <c r="E15" s="30">
        <f>0.2*AsphaltBinderBase</f>
        <v>116.67200000000001</v>
      </c>
      <c r="F15" s="30">
        <f>0.25*AsphaltBinderBase-0.01</f>
        <v>145.83000000000001</v>
      </c>
      <c r="G15" s="66">
        <f>-0.75*AsphaltBinderBase</f>
        <v>-437.52</v>
      </c>
      <c r="H15" s="8"/>
    </row>
    <row r="16" spans="1:8" x14ac:dyDescent="0.2">
      <c r="A16" s="8"/>
      <c r="B16" s="185"/>
      <c r="C16" s="49">
        <v>70</v>
      </c>
      <c r="D16" s="19">
        <v>75</v>
      </c>
      <c r="E16" s="30">
        <f>0.25*AsphaltBinderBase</f>
        <v>145.84</v>
      </c>
      <c r="F16" s="30">
        <f>0.3*AsphaltBinderBase-0.01</f>
        <v>174.99800000000002</v>
      </c>
      <c r="G16" s="66">
        <f>-0.7*AsphaltBinderBase</f>
        <v>-408.35199999999998</v>
      </c>
      <c r="H16" s="8"/>
    </row>
    <row r="17" spans="1:8" x14ac:dyDescent="0.2">
      <c r="A17" s="8"/>
      <c r="B17" s="185"/>
      <c r="C17" s="49">
        <v>65</v>
      </c>
      <c r="D17" s="19">
        <v>70</v>
      </c>
      <c r="E17" s="30">
        <f>0.3*AsphaltBinderBase</f>
        <v>175.00800000000001</v>
      </c>
      <c r="F17" s="30">
        <f>0.35*AsphaltBinderBase-0.01</f>
        <v>204.166</v>
      </c>
      <c r="G17" s="66">
        <f>-0.65*AsphaltBinderBase</f>
        <v>-379.18400000000003</v>
      </c>
      <c r="H17" s="8"/>
    </row>
    <row r="18" spans="1:8" x14ac:dyDescent="0.2">
      <c r="A18" s="8"/>
      <c r="B18" s="185"/>
      <c r="C18" s="49">
        <v>60</v>
      </c>
      <c r="D18" s="19">
        <v>65</v>
      </c>
      <c r="E18" s="30">
        <f>0.35*AsphaltBinderBase</f>
        <v>204.17599999999999</v>
      </c>
      <c r="F18" s="30">
        <f>0.4*AsphaltBinderBase-0.01</f>
        <v>233.33400000000003</v>
      </c>
      <c r="G18" s="66">
        <f>-0.6*AsphaltBinderBase</f>
        <v>-350.01600000000002</v>
      </c>
      <c r="H18" s="8"/>
    </row>
    <row r="19" spans="1:8" x14ac:dyDescent="0.2">
      <c r="A19" s="8"/>
      <c r="B19" s="185"/>
      <c r="C19" s="49">
        <v>55</v>
      </c>
      <c r="D19" s="19">
        <v>60</v>
      </c>
      <c r="E19" s="30">
        <f>0.4*AsphaltBinderBase</f>
        <v>233.34400000000002</v>
      </c>
      <c r="F19" s="30">
        <f>0.45*AsphaltBinderBase-0.01</f>
        <v>262.50200000000001</v>
      </c>
      <c r="G19" s="66">
        <f>-0.55*AsphaltBinderBase</f>
        <v>-320.84800000000001</v>
      </c>
      <c r="H19" s="8"/>
    </row>
    <row r="20" spans="1:8" x14ac:dyDescent="0.2">
      <c r="A20" s="8"/>
      <c r="B20" s="185"/>
      <c r="C20" s="49">
        <v>50</v>
      </c>
      <c r="D20" s="19">
        <v>55</v>
      </c>
      <c r="E20" s="30">
        <f>0.45*AsphaltBinderBase</f>
        <v>262.512</v>
      </c>
      <c r="F20" s="30">
        <f>0.5*AsphaltBinderBase-0.01</f>
        <v>291.67</v>
      </c>
      <c r="G20" s="66">
        <f>-0.5*AsphaltBinderBase</f>
        <v>-291.68</v>
      </c>
      <c r="H20" s="8"/>
    </row>
    <row r="21" spans="1:8" x14ac:dyDescent="0.2">
      <c r="A21" s="8"/>
      <c r="B21" s="185"/>
      <c r="C21" s="49">
        <v>45</v>
      </c>
      <c r="D21" s="19">
        <v>50</v>
      </c>
      <c r="E21" s="30">
        <f>0.5*AsphaltBinderBase</f>
        <v>291.68</v>
      </c>
      <c r="F21" s="30">
        <f>0.55*AsphaltBinderBase-0.01</f>
        <v>320.83800000000002</v>
      </c>
      <c r="G21" s="66">
        <f>-0.45*AsphaltBinderBase</f>
        <v>-262.512</v>
      </c>
      <c r="H21" s="8"/>
    </row>
    <row r="22" spans="1:8" x14ac:dyDescent="0.2">
      <c r="A22" s="8"/>
      <c r="B22" s="185"/>
      <c r="C22" s="49">
        <v>40</v>
      </c>
      <c r="D22" s="19">
        <v>45</v>
      </c>
      <c r="E22" s="30">
        <f>0.55*AsphaltBinderBase</f>
        <v>320.84800000000001</v>
      </c>
      <c r="F22" s="30">
        <f>0.6*AsphaltBinderBase-0.01</f>
        <v>350.00600000000003</v>
      </c>
      <c r="G22" s="66">
        <f>-0.4*AsphaltBinderBase</f>
        <v>-233.34400000000002</v>
      </c>
      <c r="H22" s="8"/>
    </row>
    <row r="23" spans="1:8" x14ac:dyDescent="0.2">
      <c r="A23" s="8"/>
      <c r="B23" s="185"/>
      <c r="C23" s="49">
        <v>35</v>
      </c>
      <c r="D23" s="19">
        <v>40</v>
      </c>
      <c r="E23" s="30">
        <f>0.6*AsphaltBinderBase</f>
        <v>350.01600000000002</v>
      </c>
      <c r="F23" s="30">
        <f>0.65*AsphaltBinderBase-0.01</f>
        <v>379.17400000000004</v>
      </c>
      <c r="G23" s="66">
        <f>-0.35*AsphaltBinderBase</f>
        <v>-204.17599999999999</v>
      </c>
      <c r="H23" s="8"/>
    </row>
    <row r="24" spans="1:8" x14ac:dyDescent="0.2">
      <c r="A24" s="8"/>
      <c r="B24" s="185"/>
      <c r="C24" s="49">
        <v>30</v>
      </c>
      <c r="D24" s="19">
        <v>35</v>
      </c>
      <c r="E24" s="30">
        <f>0.65*AsphaltBinderBase</f>
        <v>379.18400000000003</v>
      </c>
      <c r="F24" s="30">
        <f>0.7*AsphaltBinderBase-0.01</f>
        <v>408.34199999999998</v>
      </c>
      <c r="G24" s="66">
        <f>-0.3*AsphaltBinderBase</f>
        <v>-175.00800000000001</v>
      </c>
      <c r="H24" s="8"/>
    </row>
    <row r="25" spans="1:8" x14ac:dyDescent="0.2">
      <c r="A25" s="8"/>
      <c r="B25" s="185"/>
      <c r="C25" s="49">
        <v>25</v>
      </c>
      <c r="D25" s="19">
        <v>30</v>
      </c>
      <c r="E25" s="30">
        <f>0.7*AsphaltBinderBase</f>
        <v>408.35199999999998</v>
      </c>
      <c r="F25" s="30">
        <f>0.75*AsphaltBinderBase-0.01</f>
        <v>437.51</v>
      </c>
      <c r="G25" s="66">
        <f>-0.25*AsphaltBinderBase</f>
        <v>-145.84</v>
      </c>
      <c r="H25" s="8"/>
    </row>
    <row r="26" spans="1:8" x14ac:dyDescent="0.2">
      <c r="A26" s="8"/>
      <c r="B26" s="185"/>
      <c r="C26" s="49">
        <v>20</v>
      </c>
      <c r="D26" s="19">
        <v>25</v>
      </c>
      <c r="E26" s="30">
        <f>0.75*AsphaltBinderBase</f>
        <v>437.52</v>
      </c>
      <c r="F26" s="30">
        <f>0.8*AsphaltBinderBase-0.01</f>
        <v>466.67800000000005</v>
      </c>
      <c r="G26" s="66">
        <f>-0.2*AsphaltBinderBase</f>
        <v>-116.67200000000001</v>
      </c>
      <c r="H26" s="8"/>
    </row>
    <row r="27" spans="1:8" x14ac:dyDescent="0.2">
      <c r="A27" s="8"/>
      <c r="B27" s="185"/>
      <c r="C27" s="49">
        <v>15</v>
      </c>
      <c r="D27" s="19">
        <v>20</v>
      </c>
      <c r="E27" s="30">
        <f>0.8*AsphaltBinderBase</f>
        <v>466.68800000000005</v>
      </c>
      <c r="F27" s="30">
        <f>0.85*AsphaltBinderBase-0.01</f>
        <v>495.846</v>
      </c>
      <c r="G27" s="66">
        <f>-0.15*AsphaltBinderBase</f>
        <v>-87.504000000000005</v>
      </c>
      <c r="H27" s="8"/>
    </row>
    <row r="28" spans="1:8" x14ac:dyDescent="0.2">
      <c r="A28" s="8"/>
      <c r="B28" s="185"/>
      <c r="C28" s="49">
        <v>10</v>
      </c>
      <c r="D28" s="19">
        <v>15</v>
      </c>
      <c r="E28" s="30">
        <f>0.85*AsphaltBinderBase</f>
        <v>495.85599999999999</v>
      </c>
      <c r="F28" s="30">
        <f>0.9*AsphaltBinderBase-0.01</f>
        <v>525.01400000000001</v>
      </c>
      <c r="G28" s="66">
        <f>-0.1*AsphaltBinderBase</f>
        <v>-58.336000000000006</v>
      </c>
      <c r="H28" s="8"/>
    </row>
    <row r="29" spans="1:8" x14ac:dyDescent="0.2">
      <c r="A29" s="8"/>
      <c r="B29" s="185"/>
      <c r="C29" s="49">
        <v>5</v>
      </c>
      <c r="D29" s="19">
        <v>10</v>
      </c>
      <c r="E29" s="30">
        <f>0.9*AsphaltBinderBase</f>
        <v>525.024</v>
      </c>
      <c r="F29" s="30">
        <f>0.95*AsphaltBinderBase-0.01</f>
        <v>554.18200000000002</v>
      </c>
      <c r="G29" s="66">
        <f>-0.05*AsphaltBinderBase</f>
        <v>-29.168000000000003</v>
      </c>
      <c r="H29" s="8"/>
    </row>
    <row r="30" spans="1:8" x14ac:dyDescent="0.2">
      <c r="A30" s="8"/>
      <c r="B30" s="186"/>
      <c r="C30" s="56">
        <v>0</v>
      </c>
      <c r="D30" s="55">
        <v>5</v>
      </c>
      <c r="E30" s="58">
        <f>0.95*AsphaltBinderBase</f>
        <v>554.19200000000001</v>
      </c>
      <c r="F30" s="58">
        <f>1*AsphaltBinderBase-0.01</f>
        <v>583.35</v>
      </c>
      <c r="G30" s="68">
        <f>0*AsphaltBinderBase</f>
        <v>0</v>
      </c>
      <c r="H30" s="8"/>
    </row>
    <row r="31" spans="1:8" x14ac:dyDescent="0.2">
      <c r="A31" s="8"/>
      <c r="B31" s="180" t="s">
        <v>42</v>
      </c>
      <c r="C31" s="61">
        <v>0</v>
      </c>
      <c r="D31" s="44">
        <v>5</v>
      </c>
      <c r="E31" s="62">
        <f>1*AsphaltBinderBase</f>
        <v>583.36</v>
      </c>
      <c r="F31" s="62">
        <f>1.05*AsphaltBinderBase</f>
        <v>612.52800000000002</v>
      </c>
      <c r="G31" s="64">
        <f>0*AsphaltBinderBase</f>
        <v>0</v>
      </c>
      <c r="H31" s="8"/>
    </row>
    <row r="32" spans="1:8" x14ac:dyDescent="0.2">
      <c r="A32" s="8"/>
      <c r="B32" s="181"/>
      <c r="C32" s="63">
        <v>5</v>
      </c>
      <c r="D32" s="19">
        <v>10</v>
      </c>
      <c r="E32" s="30">
        <f>1.05*AsphaltBinderBase+0.01</f>
        <v>612.53800000000001</v>
      </c>
      <c r="F32" s="30">
        <f>1.1*AsphaltBinderBase</f>
        <v>641.69600000000003</v>
      </c>
      <c r="G32" s="65">
        <f>0.05*AsphaltBinderBase</f>
        <v>29.168000000000003</v>
      </c>
      <c r="H32" s="8"/>
    </row>
    <row r="33" spans="1:8" x14ac:dyDescent="0.2">
      <c r="A33" s="8"/>
      <c r="B33" s="181"/>
      <c r="C33" s="63">
        <v>10</v>
      </c>
      <c r="D33" s="19">
        <v>15</v>
      </c>
      <c r="E33" s="30">
        <f>1.1*AsphaltBinderBase+0.01</f>
        <v>641.70600000000002</v>
      </c>
      <c r="F33" s="30">
        <f>1.15*AsphaltBinderBase</f>
        <v>670.86399999999992</v>
      </c>
      <c r="G33" s="66">
        <f>0.1*AsphaltBinderBase</f>
        <v>58.336000000000006</v>
      </c>
      <c r="H33" s="8"/>
    </row>
    <row r="34" spans="1:8" x14ac:dyDescent="0.2">
      <c r="A34" s="8"/>
      <c r="B34" s="181"/>
      <c r="C34" s="63">
        <v>15</v>
      </c>
      <c r="D34" s="19">
        <v>20</v>
      </c>
      <c r="E34" s="30">
        <f>1.15*AsphaltBinderBase+0.01</f>
        <v>670.87399999999991</v>
      </c>
      <c r="F34" s="30">
        <f>1.2*AsphaltBinderBase</f>
        <v>700.03200000000004</v>
      </c>
      <c r="G34" s="65">
        <f>0.15*AsphaltBinderBase</f>
        <v>87.504000000000005</v>
      </c>
      <c r="H34" s="8"/>
    </row>
    <row r="35" spans="1:8" x14ac:dyDescent="0.2">
      <c r="A35" s="8"/>
      <c r="B35" s="181"/>
      <c r="C35" s="63">
        <v>20</v>
      </c>
      <c r="D35" s="19">
        <v>25</v>
      </c>
      <c r="E35" s="30">
        <f>1.2*AsphaltBinderBase+0.01</f>
        <v>700.04200000000003</v>
      </c>
      <c r="F35" s="30">
        <f>1.25*AsphaltBinderBase</f>
        <v>729.2</v>
      </c>
      <c r="G35" s="66">
        <f>0.2*AsphaltBinderBase</f>
        <v>116.67200000000001</v>
      </c>
      <c r="H35" s="8"/>
    </row>
    <row r="36" spans="1:8" x14ac:dyDescent="0.2">
      <c r="A36" s="8"/>
      <c r="B36" s="181"/>
      <c r="C36" s="63">
        <v>25</v>
      </c>
      <c r="D36" s="19">
        <v>30</v>
      </c>
      <c r="E36" s="30">
        <f>1.25*AsphaltBinderBase+0.01</f>
        <v>729.21</v>
      </c>
      <c r="F36" s="30">
        <f>1.3*AsphaltBinderBase</f>
        <v>758.36800000000005</v>
      </c>
      <c r="G36" s="65">
        <f>0.25*AsphaltBinderBase</f>
        <v>145.84</v>
      </c>
      <c r="H36" s="8"/>
    </row>
    <row r="37" spans="1:8" x14ac:dyDescent="0.2">
      <c r="A37" s="8"/>
      <c r="B37" s="181"/>
      <c r="C37" s="63">
        <v>30</v>
      </c>
      <c r="D37" s="19">
        <v>35</v>
      </c>
      <c r="E37" s="30">
        <f>1.3*AsphaltBinderBase+0.01</f>
        <v>758.37800000000004</v>
      </c>
      <c r="F37" s="30">
        <f>1.35*AsphaltBinderBase</f>
        <v>787.53600000000006</v>
      </c>
      <c r="G37" s="66">
        <f>0.3*AsphaltBinderBase</f>
        <v>175.00800000000001</v>
      </c>
      <c r="H37" s="8"/>
    </row>
    <row r="38" spans="1:8" x14ac:dyDescent="0.2">
      <c r="A38" s="8"/>
      <c r="B38" s="181"/>
      <c r="C38" s="63">
        <v>35</v>
      </c>
      <c r="D38" s="19">
        <v>40</v>
      </c>
      <c r="E38" s="30">
        <f>1.35*AsphaltBinderBase+0.01</f>
        <v>787.54600000000005</v>
      </c>
      <c r="F38" s="30">
        <f>1.4*AsphaltBinderBase</f>
        <v>816.70399999999995</v>
      </c>
      <c r="G38" s="65">
        <f>0.35*AsphaltBinderBase</f>
        <v>204.17599999999999</v>
      </c>
      <c r="H38" s="8"/>
    </row>
    <row r="39" spans="1:8" x14ac:dyDescent="0.2">
      <c r="A39" s="8"/>
      <c r="B39" s="181"/>
      <c r="C39" s="63">
        <v>40</v>
      </c>
      <c r="D39" s="19">
        <v>45</v>
      </c>
      <c r="E39" s="30">
        <f>1.4*AsphaltBinderBase+0.01</f>
        <v>816.71399999999994</v>
      </c>
      <c r="F39" s="30">
        <f>1.45*AsphaltBinderBase</f>
        <v>845.87199999999996</v>
      </c>
      <c r="G39" s="66">
        <f>0.4*AsphaltBinderBase</f>
        <v>233.34400000000002</v>
      </c>
      <c r="H39" s="8"/>
    </row>
    <row r="40" spans="1:8" x14ac:dyDescent="0.2">
      <c r="A40" s="8"/>
      <c r="B40" s="181"/>
      <c r="C40" s="63">
        <v>45</v>
      </c>
      <c r="D40" s="19">
        <v>50</v>
      </c>
      <c r="E40" s="30">
        <f>1.45*AsphaltBinderBase+0.01</f>
        <v>845.88199999999995</v>
      </c>
      <c r="F40" s="30">
        <f>1.5*AsphaltBinderBase</f>
        <v>875.04</v>
      </c>
      <c r="G40" s="65">
        <f>0.45*AsphaltBinderBase</f>
        <v>262.512</v>
      </c>
      <c r="H40" s="8"/>
    </row>
    <row r="41" spans="1:8" x14ac:dyDescent="0.2">
      <c r="A41" s="8"/>
      <c r="B41" s="181"/>
      <c r="C41" s="63">
        <v>50</v>
      </c>
      <c r="D41" s="19">
        <v>55</v>
      </c>
      <c r="E41" s="30">
        <f>1.5*AsphaltBinderBase+0.01</f>
        <v>875.05</v>
      </c>
      <c r="F41" s="30">
        <f>1.55*AsphaltBinderBase</f>
        <v>904.20800000000008</v>
      </c>
      <c r="G41" s="66">
        <f>0.5*AsphaltBinderBase</f>
        <v>291.68</v>
      </c>
      <c r="H41" s="8"/>
    </row>
    <row r="42" spans="1:8" x14ac:dyDescent="0.2">
      <c r="A42" s="8"/>
      <c r="B42" s="181"/>
      <c r="C42" s="63">
        <v>55</v>
      </c>
      <c r="D42" s="19">
        <v>60</v>
      </c>
      <c r="E42" s="30">
        <f>1.55*AsphaltBinderBase+0.01</f>
        <v>904.21800000000007</v>
      </c>
      <c r="F42" s="30">
        <f>1.6*AsphaltBinderBase</f>
        <v>933.37600000000009</v>
      </c>
      <c r="G42" s="65">
        <f>0.55*AsphaltBinderBase</f>
        <v>320.84800000000001</v>
      </c>
      <c r="H42" s="8"/>
    </row>
    <row r="43" spans="1:8" x14ac:dyDescent="0.2">
      <c r="A43" s="8"/>
      <c r="B43" s="181"/>
      <c r="C43" s="63">
        <v>60</v>
      </c>
      <c r="D43" s="19">
        <v>65</v>
      </c>
      <c r="E43" s="30">
        <f>1.6*AsphaltBinderBase+0.01</f>
        <v>933.38600000000008</v>
      </c>
      <c r="F43" s="30">
        <f>1.65*AsphaltBinderBase</f>
        <v>962.54399999999998</v>
      </c>
      <c r="G43" s="66">
        <f>0.6*AsphaltBinderBase</f>
        <v>350.01600000000002</v>
      </c>
      <c r="H43" s="8"/>
    </row>
    <row r="44" spans="1:8" x14ac:dyDescent="0.2">
      <c r="A44" s="8"/>
      <c r="B44" s="181"/>
      <c r="C44" s="63">
        <v>65</v>
      </c>
      <c r="D44" s="19">
        <v>70</v>
      </c>
      <c r="E44" s="30">
        <f>1.65*AsphaltBinderBase+0.01</f>
        <v>962.55399999999997</v>
      </c>
      <c r="F44" s="30">
        <f>1.7*AsphaltBinderBase</f>
        <v>991.71199999999999</v>
      </c>
      <c r="G44" s="65">
        <f>0.65*AsphaltBinderBase</f>
        <v>379.18400000000003</v>
      </c>
      <c r="H44" s="8"/>
    </row>
    <row r="45" spans="1:8" x14ac:dyDescent="0.2">
      <c r="A45" s="8"/>
      <c r="B45" s="181"/>
      <c r="C45" s="63">
        <v>70</v>
      </c>
      <c r="D45" s="19">
        <v>75</v>
      </c>
      <c r="E45" s="30">
        <f>1.7*AsphaltBinderBase+0.01</f>
        <v>991.72199999999998</v>
      </c>
      <c r="F45" s="30">
        <f>1.75*AsphaltBinderBase</f>
        <v>1020.88</v>
      </c>
      <c r="G45" s="66">
        <f>0.7*AsphaltBinderBase</f>
        <v>408.35199999999998</v>
      </c>
      <c r="H45" s="8"/>
    </row>
    <row r="46" spans="1:8" x14ac:dyDescent="0.2">
      <c r="A46" s="8"/>
      <c r="B46" s="181"/>
      <c r="C46" s="63">
        <v>75</v>
      </c>
      <c r="D46" s="19">
        <v>80</v>
      </c>
      <c r="E46" s="30">
        <f>1.75*AsphaltBinderBase+0.01</f>
        <v>1020.89</v>
      </c>
      <c r="F46" s="30">
        <f>1.8*AsphaltBinderBase</f>
        <v>1050.048</v>
      </c>
      <c r="G46" s="65">
        <f>0.75*AsphaltBinderBase</f>
        <v>437.52</v>
      </c>
      <c r="H46" s="8"/>
    </row>
    <row r="47" spans="1:8" x14ac:dyDescent="0.2">
      <c r="A47" s="8"/>
      <c r="B47" s="181"/>
      <c r="C47" s="63">
        <v>80</v>
      </c>
      <c r="D47" s="19">
        <v>85</v>
      </c>
      <c r="E47" s="30">
        <f>1.8*AsphaltBinderBase+0.01</f>
        <v>1050.058</v>
      </c>
      <c r="F47" s="30">
        <f>1.85*AsphaltBinderBase</f>
        <v>1079.2160000000001</v>
      </c>
      <c r="G47" s="66">
        <f>0.8*AsphaltBinderBase</f>
        <v>466.68800000000005</v>
      </c>
      <c r="H47" s="8"/>
    </row>
    <row r="48" spans="1:8" x14ac:dyDescent="0.2">
      <c r="A48" s="8"/>
      <c r="B48" s="181"/>
      <c r="C48" s="63">
        <v>85</v>
      </c>
      <c r="D48" s="19">
        <v>90</v>
      </c>
      <c r="E48" s="30">
        <f>1.85*AsphaltBinderBase+0.01</f>
        <v>1079.2260000000001</v>
      </c>
      <c r="F48" s="30">
        <f>1.9*AsphaltBinderBase</f>
        <v>1108.384</v>
      </c>
      <c r="G48" s="65">
        <f>0.85*AsphaltBinderBase</f>
        <v>495.85599999999999</v>
      </c>
      <c r="H48" s="8"/>
    </row>
    <row r="49" spans="1:8" x14ac:dyDescent="0.2">
      <c r="A49" s="8"/>
      <c r="B49" s="181"/>
      <c r="C49" s="63">
        <v>90</v>
      </c>
      <c r="D49" s="19">
        <v>95</v>
      </c>
      <c r="E49" s="30">
        <f>1.9*AsphaltBinderBase+0.01</f>
        <v>1108.394</v>
      </c>
      <c r="F49" s="30">
        <f>1.95*AsphaltBinderBase</f>
        <v>1137.5519999999999</v>
      </c>
      <c r="G49" s="66">
        <f>0.9*AsphaltBinderBase</f>
        <v>525.024</v>
      </c>
      <c r="H49" s="8"/>
    </row>
    <row r="50" spans="1:8" x14ac:dyDescent="0.2">
      <c r="A50" s="8"/>
      <c r="B50" s="181"/>
      <c r="C50" s="63">
        <v>95</v>
      </c>
      <c r="D50" s="19">
        <v>100</v>
      </c>
      <c r="E50" s="30">
        <f>1.95*AsphaltBinderBase+0.01</f>
        <v>1137.5619999999999</v>
      </c>
      <c r="F50" s="30">
        <f>2*AsphaltBinderBase</f>
        <v>1166.72</v>
      </c>
      <c r="G50" s="65">
        <f>0.95*AsphaltBinderBase</f>
        <v>554.19200000000001</v>
      </c>
      <c r="H50" s="8"/>
    </row>
    <row r="51" spans="1:8" x14ac:dyDescent="0.2">
      <c r="A51" s="8"/>
      <c r="B51" s="181"/>
      <c r="C51" s="63">
        <v>100</v>
      </c>
      <c r="D51" s="19">
        <v>105</v>
      </c>
      <c r="E51" s="30">
        <f>2*AsphaltBinderBase+0.01</f>
        <v>1166.73</v>
      </c>
      <c r="F51" s="30">
        <f>2.05*AsphaltBinderBase</f>
        <v>1195.8879999999999</v>
      </c>
      <c r="G51" s="66">
        <f>1*AsphaltBinderBase</f>
        <v>583.36</v>
      </c>
      <c r="H51" s="8"/>
    </row>
    <row r="52" spans="1:8" x14ac:dyDescent="0.2">
      <c r="A52" s="8"/>
      <c r="B52" s="181"/>
      <c r="C52" s="63">
        <v>105</v>
      </c>
      <c r="D52" s="19">
        <v>110</v>
      </c>
      <c r="E52" s="30">
        <f>2.05*AsphaltBinderBase+0.01</f>
        <v>1195.8979999999999</v>
      </c>
      <c r="F52" s="30">
        <f>2.1*AsphaltBinderBase</f>
        <v>1225.056</v>
      </c>
      <c r="G52" s="65">
        <f>1.05*AsphaltBinderBase</f>
        <v>612.52800000000002</v>
      </c>
      <c r="H52" s="8"/>
    </row>
    <row r="53" spans="1:8" x14ac:dyDescent="0.2">
      <c r="A53" s="8"/>
      <c r="B53" s="181"/>
      <c r="C53" s="63">
        <v>110</v>
      </c>
      <c r="D53" s="19">
        <v>115</v>
      </c>
      <c r="E53" s="30">
        <f>2.1*AsphaltBinderBase+0.01</f>
        <v>1225.066</v>
      </c>
      <c r="F53" s="30">
        <f>2.15*AsphaltBinderBase</f>
        <v>1254.2239999999999</v>
      </c>
      <c r="G53" s="66">
        <f>1.1*AsphaltBinderBase</f>
        <v>641.69600000000003</v>
      </c>
      <c r="H53" s="8"/>
    </row>
    <row r="54" spans="1:8" x14ac:dyDescent="0.2">
      <c r="A54" s="8"/>
      <c r="B54" s="181"/>
      <c r="C54" s="63">
        <v>115</v>
      </c>
      <c r="D54" s="19">
        <v>120</v>
      </c>
      <c r="E54" s="30">
        <f>2.15*AsphaltBinderBase+0.01</f>
        <v>1254.2339999999999</v>
      </c>
      <c r="F54" s="30">
        <f>2.2*AsphaltBinderBase</f>
        <v>1283.3920000000001</v>
      </c>
      <c r="G54" s="65">
        <f>1.15*AsphaltBinderBase</f>
        <v>670.86399999999992</v>
      </c>
      <c r="H54" s="8"/>
    </row>
    <row r="55" spans="1:8" x14ac:dyDescent="0.2">
      <c r="A55" s="8"/>
      <c r="B55" s="181"/>
      <c r="C55" s="63">
        <v>120</v>
      </c>
      <c r="D55" s="19">
        <v>125</v>
      </c>
      <c r="E55" s="30">
        <f>2.2*AsphaltBinderBase+0.01</f>
        <v>1283.402</v>
      </c>
      <c r="F55" s="30">
        <f>2.25*AsphaltBinderBase</f>
        <v>1312.56</v>
      </c>
      <c r="G55" s="66">
        <f>1.2*AsphaltBinderBase</f>
        <v>700.03200000000004</v>
      </c>
      <c r="H55" s="8"/>
    </row>
    <row r="56" spans="1:8" x14ac:dyDescent="0.2">
      <c r="A56" s="8"/>
      <c r="B56" s="181"/>
      <c r="C56" s="63">
        <v>125</v>
      </c>
      <c r="D56" s="19">
        <v>130</v>
      </c>
      <c r="E56" s="30">
        <f>2.25*AsphaltBinderBase+0.01</f>
        <v>1312.57</v>
      </c>
      <c r="F56" s="30">
        <f>2.3*AsphaltBinderBase</f>
        <v>1341.7279999999998</v>
      </c>
      <c r="G56" s="65">
        <f>1.25*AsphaltBinderBase</f>
        <v>729.2</v>
      </c>
      <c r="H56" s="8"/>
    </row>
    <row r="57" spans="1:8" x14ac:dyDescent="0.2">
      <c r="A57" s="8"/>
      <c r="B57" s="181"/>
      <c r="C57" s="63">
        <v>130</v>
      </c>
      <c r="D57" s="19">
        <v>135</v>
      </c>
      <c r="E57" s="30">
        <f>2.3*AsphaltBinderBase+0.01</f>
        <v>1341.7379999999998</v>
      </c>
      <c r="F57" s="30">
        <f>2.35*AsphaltBinderBase</f>
        <v>1370.8960000000002</v>
      </c>
      <c r="G57" s="66">
        <f>1.3*AsphaltBinderBase</f>
        <v>758.36800000000005</v>
      </c>
      <c r="H57" s="8"/>
    </row>
    <row r="58" spans="1:8" x14ac:dyDescent="0.2">
      <c r="A58" s="8"/>
      <c r="B58" s="181"/>
      <c r="C58" s="63">
        <v>135</v>
      </c>
      <c r="D58" s="19">
        <v>140</v>
      </c>
      <c r="E58" s="30">
        <f>2.35*AsphaltBinderBase+0.01</f>
        <v>1370.9060000000002</v>
      </c>
      <c r="F58" s="30">
        <f>2.4*AsphaltBinderBase</f>
        <v>1400.0640000000001</v>
      </c>
      <c r="G58" s="65">
        <f>1.35*AsphaltBinderBase</f>
        <v>787.53600000000006</v>
      </c>
      <c r="H58" s="8"/>
    </row>
    <row r="59" spans="1:8" x14ac:dyDescent="0.2">
      <c r="A59" s="8"/>
      <c r="B59" s="181"/>
      <c r="C59" s="63">
        <v>140</v>
      </c>
      <c r="D59" s="19">
        <v>145</v>
      </c>
      <c r="E59" s="30">
        <f>2.4*AsphaltBinderBase+0.01</f>
        <v>1400.0740000000001</v>
      </c>
      <c r="F59" s="30">
        <f>2.45*AsphaltBinderBase</f>
        <v>1429.2320000000002</v>
      </c>
      <c r="G59" s="66">
        <f>1.4*AsphaltBinderBase</f>
        <v>816.70399999999995</v>
      </c>
      <c r="H59" s="8"/>
    </row>
    <row r="60" spans="1:8" x14ac:dyDescent="0.2">
      <c r="A60" s="8"/>
      <c r="B60" s="181"/>
      <c r="C60" s="63">
        <v>145</v>
      </c>
      <c r="D60" s="19">
        <v>150</v>
      </c>
      <c r="E60" s="30">
        <f>2.45*AsphaltBinderBase+0.01</f>
        <v>1429.2420000000002</v>
      </c>
      <c r="F60" s="30">
        <f>2.5*AsphaltBinderBase</f>
        <v>1458.4</v>
      </c>
      <c r="G60" s="65">
        <f>1.45*AsphaltBinderBase</f>
        <v>845.87199999999996</v>
      </c>
      <c r="H60" s="8"/>
    </row>
    <row r="61" spans="1:8" x14ac:dyDescent="0.2">
      <c r="A61" s="8"/>
      <c r="B61" s="181"/>
      <c r="C61" s="63">
        <v>150</v>
      </c>
      <c r="D61" s="19">
        <v>155</v>
      </c>
      <c r="E61" s="30">
        <f>2.5*AsphaltBinderBase+0.01</f>
        <v>1458.41</v>
      </c>
      <c r="F61" s="30">
        <f>2.55*AsphaltBinderBase</f>
        <v>1487.568</v>
      </c>
      <c r="G61" s="66">
        <f>1.5*AsphaltBinderBase</f>
        <v>875.04</v>
      </c>
      <c r="H61" s="8"/>
    </row>
    <row r="62" spans="1:8" x14ac:dyDescent="0.2">
      <c r="A62" s="8"/>
      <c r="B62" s="181"/>
      <c r="C62" s="63">
        <v>155</v>
      </c>
      <c r="D62" s="19">
        <v>160</v>
      </c>
      <c r="E62" s="30">
        <f>2.55*AsphaltBinderBase+0.01</f>
        <v>1487.578</v>
      </c>
      <c r="F62" s="30">
        <f>2.6*AsphaltBinderBase</f>
        <v>1516.7360000000001</v>
      </c>
      <c r="G62" s="65">
        <f>1.55*AsphaltBinderBase</f>
        <v>904.20800000000008</v>
      </c>
      <c r="H62" s="8"/>
    </row>
    <row r="63" spans="1:8" x14ac:dyDescent="0.2">
      <c r="A63" s="8"/>
      <c r="B63" s="181"/>
      <c r="C63" s="63">
        <v>160</v>
      </c>
      <c r="D63" s="19">
        <v>165</v>
      </c>
      <c r="E63" s="30">
        <f>2.6*AsphaltBinderBase+0.01</f>
        <v>1516.7460000000001</v>
      </c>
      <c r="F63" s="30">
        <f>2.65*AsphaltBinderBase</f>
        <v>1545.904</v>
      </c>
      <c r="G63" s="66">
        <f>1.6*AsphaltBinderBase</f>
        <v>933.37600000000009</v>
      </c>
      <c r="H63" s="8"/>
    </row>
    <row r="64" spans="1:8" x14ac:dyDescent="0.2">
      <c r="A64" s="8"/>
      <c r="B64" s="181"/>
      <c r="C64" s="63">
        <v>165</v>
      </c>
      <c r="D64" s="19">
        <v>170</v>
      </c>
      <c r="E64" s="30">
        <f>2.65*AsphaltBinderBase+0.01</f>
        <v>1545.914</v>
      </c>
      <c r="F64" s="30">
        <f>2.7*AsphaltBinderBase</f>
        <v>1575.0720000000001</v>
      </c>
      <c r="G64" s="65">
        <f>1.65*AsphaltBinderBase</f>
        <v>962.54399999999998</v>
      </c>
      <c r="H64" s="8"/>
    </row>
    <row r="65" spans="1:8" x14ac:dyDescent="0.2">
      <c r="A65" s="8"/>
      <c r="B65" s="181"/>
      <c r="C65" s="63">
        <v>170</v>
      </c>
      <c r="D65" s="19">
        <v>175</v>
      </c>
      <c r="E65" s="30">
        <f>2.7*AsphaltBinderBase+0.01</f>
        <v>1575.0820000000001</v>
      </c>
      <c r="F65" s="30">
        <f>2.75*AsphaltBinderBase</f>
        <v>1604.24</v>
      </c>
      <c r="G65" s="66">
        <f>1.7*AsphaltBinderBase</f>
        <v>991.71199999999999</v>
      </c>
      <c r="H65" s="8"/>
    </row>
    <row r="66" spans="1:8" x14ac:dyDescent="0.2">
      <c r="A66" s="8"/>
      <c r="B66" s="181"/>
      <c r="C66" s="63">
        <v>175</v>
      </c>
      <c r="D66" s="19">
        <v>180</v>
      </c>
      <c r="E66" s="30">
        <f>2.75*AsphaltBinderBase+0.01</f>
        <v>1604.25</v>
      </c>
      <c r="F66" s="30">
        <f>2.8*AsphaltBinderBase</f>
        <v>1633.4079999999999</v>
      </c>
      <c r="G66" s="65">
        <f>1.75*AsphaltBinderBase</f>
        <v>1020.88</v>
      </c>
      <c r="H66" s="8"/>
    </row>
    <row r="67" spans="1:8" x14ac:dyDescent="0.2">
      <c r="A67" s="8"/>
      <c r="B67" s="181"/>
      <c r="C67" s="63">
        <v>180</v>
      </c>
      <c r="D67" s="19">
        <v>185</v>
      </c>
      <c r="E67" s="30">
        <f>2.8*AsphaltBinderBase+0.01</f>
        <v>1633.4179999999999</v>
      </c>
      <c r="F67" s="30">
        <f>2.85*AsphaltBinderBase</f>
        <v>1662.576</v>
      </c>
      <c r="G67" s="66">
        <f>1.8*AsphaltBinderBase</f>
        <v>1050.048</v>
      </c>
      <c r="H67" s="8"/>
    </row>
    <row r="68" spans="1:8" x14ac:dyDescent="0.2">
      <c r="A68" s="8"/>
      <c r="B68" s="181"/>
      <c r="C68" s="63">
        <v>185</v>
      </c>
      <c r="D68" s="19">
        <v>190</v>
      </c>
      <c r="E68" s="30">
        <f>2.85*AsphaltBinderBase+0.01</f>
        <v>1662.586</v>
      </c>
      <c r="F68" s="30">
        <f>2.9*AsphaltBinderBase</f>
        <v>1691.7439999999999</v>
      </c>
      <c r="G68" s="65">
        <f>1.85*AsphaltBinderBase</f>
        <v>1079.2160000000001</v>
      </c>
      <c r="H68" s="8"/>
    </row>
    <row r="69" spans="1:8" x14ac:dyDescent="0.2">
      <c r="A69" s="8"/>
      <c r="B69" s="181"/>
      <c r="C69" s="63">
        <v>190</v>
      </c>
      <c r="D69" s="19">
        <v>195</v>
      </c>
      <c r="E69" s="30">
        <f>2.9*AsphaltBinderBase+0.01</f>
        <v>1691.7539999999999</v>
      </c>
      <c r="F69" s="30">
        <f>2.95*AsphaltBinderBase</f>
        <v>1720.912</v>
      </c>
      <c r="G69" s="66">
        <f>1.9*AsphaltBinderBase</f>
        <v>1108.384</v>
      </c>
      <c r="H69" s="8"/>
    </row>
    <row r="70" spans="1:8" x14ac:dyDescent="0.2">
      <c r="A70" s="8"/>
      <c r="B70" s="181"/>
      <c r="C70" s="63">
        <v>195</v>
      </c>
      <c r="D70" s="19">
        <v>200</v>
      </c>
      <c r="E70" s="30">
        <f>2.95*AsphaltBinderBase+0.01</f>
        <v>1720.922</v>
      </c>
      <c r="F70" s="30">
        <f>3*AsphaltBinderBase</f>
        <v>1750.08</v>
      </c>
      <c r="G70" s="67">
        <f>1.95*AsphaltBinderBase</f>
        <v>1137.5519999999999</v>
      </c>
      <c r="H70" s="8"/>
    </row>
    <row r="71" spans="1:8" x14ac:dyDescent="0.2">
      <c r="A71" s="8"/>
      <c r="B71" s="182"/>
      <c r="C71" s="63">
        <v>200</v>
      </c>
      <c r="D71" s="19">
        <v>205</v>
      </c>
      <c r="E71" s="30">
        <f>3*AsphaltBinderBase+0.01</f>
        <v>1750.09</v>
      </c>
      <c r="F71" s="30">
        <f>3.05*AsphaltBinderBase</f>
        <v>1779.248</v>
      </c>
      <c r="G71" s="67">
        <f>2*AsphaltBinderBase</f>
        <v>1166.72</v>
      </c>
      <c r="H71" s="8"/>
    </row>
    <row r="72" spans="1:8" x14ac:dyDescent="0.2">
      <c r="A72" s="8"/>
      <c r="B72" s="182"/>
      <c r="C72" s="63">
        <v>205</v>
      </c>
      <c r="D72" s="19">
        <v>210</v>
      </c>
      <c r="E72" s="30">
        <f>3.05*AsphaltBinderBase+0.01</f>
        <v>1779.258</v>
      </c>
      <c r="F72" s="30">
        <f>3.1*AsphaltBinderBase</f>
        <v>1808.4160000000002</v>
      </c>
      <c r="G72" s="67">
        <f>2.05*AsphaltBinderBase</f>
        <v>1195.8879999999999</v>
      </c>
      <c r="H72" s="8"/>
    </row>
    <row r="73" spans="1:8" x14ac:dyDescent="0.2">
      <c r="A73" s="8"/>
      <c r="B73" s="182"/>
      <c r="C73" s="63">
        <v>210</v>
      </c>
      <c r="D73" s="19">
        <v>215</v>
      </c>
      <c r="E73" s="30">
        <f>3.1*AsphaltBinderBase+0.01</f>
        <v>1808.4260000000002</v>
      </c>
      <c r="F73" s="30">
        <f>3.15*AsphaltBinderBase</f>
        <v>1837.5840000000001</v>
      </c>
      <c r="G73" s="67">
        <f>2.1*AsphaltBinderBase</f>
        <v>1225.056</v>
      </c>
      <c r="H73" s="8"/>
    </row>
    <row r="74" spans="1:8" x14ac:dyDescent="0.2">
      <c r="A74" s="8"/>
      <c r="B74" s="182"/>
      <c r="C74" s="63">
        <v>215</v>
      </c>
      <c r="D74" s="19">
        <v>220</v>
      </c>
      <c r="E74" s="30">
        <f>3.15*AsphaltBinderBase+0.01</f>
        <v>1837.5940000000001</v>
      </c>
      <c r="F74" s="30">
        <f>3.2*AsphaltBinderBase</f>
        <v>1866.7520000000002</v>
      </c>
      <c r="G74" s="67">
        <f>2.15*AsphaltBinderBase</f>
        <v>1254.2239999999999</v>
      </c>
      <c r="H74" s="8"/>
    </row>
    <row r="75" spans="1:8" x14ac:dyDescent="0.2">
      <c r="A75" s="8"/>
      <c r="B75" s="182"/>
      <c r="C75" s="63">
        <v>220</v>
      </c>
      <c r="D75" s="19">
        <v>225</v>
      </c>
      <c r="E75" s="30">
        <f>3.2*AsphaltBinderBase+0.01</f>
        <v>1866.7620000000002</v>
      </c>
      <c r="F75" s="30">
        <f>3.25*AsphaltBinderBase</f>
        <v>1895.92</v>
      </c>
      <c r="G75" s="67">
        <f>2.2*AsphaltBinderBase</f>
        <v>1283.3920000000001</v>
      </c>
      <c r="H75" s="8"/>
    </row>
    <row r="76" spans="1:8" x14ac:dyDescent="0.2">
      <c r="A76" s="8"/>
      <c r="B76" s="182"/>
      <c r="C76" s="63">
        <v>225</v>
      </c>
      <c r="D76" s="19">
        <v>230</v>
      </c>
      <c r="E76" s="30">
        <f>3.25*AsphaltBinderBase+0.01</f>
        <v>1895.93</v>
      </c>
      <c r="F76" s="30">
        <f>3.3*AsphaltBinderBase</f>
        <v>1925.088</v>
      </c>
      <c r="G76" s="67">
        <f>2.25*AsphaltBinderBase</f>
        <v>1312.56</v>
      </c>
      <c r="H76" s="8"/>
    </row>
    <row r="77" spans="1:8" x14ac:dyDescent="0.2">
      <c r="A77" s="8"/>
      <c r="B77" s="182"/>
      <c r="C77" s="63">
        <v>230</v>
      </c>
      <c r="D77" s="19">
        <v>235</v>
      </c>
      <c r="E77" s="30">
        <f>3.3*AsphaltBinderBase+0.01</f>
        <v>1925.098</v>
      </c>
      <c r="F77" s="30">
        <f>3.35*AsphaltBinderBase</f>
        <v>1954.2560000000001</v>
      </c>
      <c r="G77" s="67">
        <f>2.3*AsphaltBinderBase</f>
        <v>1341.7279999999998</v>
      </c>
      <c r="H77" s="8"/>
    </row>
    <row r="78" spans="1:8" x14ac:dyDescent="0.2">
      <c r="A78" s="8"/>
      <c r="B78" s="182"/>
      <c r="C78" s="63">
        <v>235</v>
      </c>
      <c r="D78" s="19">
        <v>240</v>
      </c>
      <c r="E78" s="30">
        <f>3.35*AsphaltBinderBase+0.01</f>
        <v>1954.2660000000001</v>
      </c>
      <c r="F78" s="30">
        <f>3.4*AsphaltBinderBase</f>
        <v>1983.424</v>
      </c>
      <c r="G78" s="67">
        <f>2.35*AsphaltBinderBase</f>
        <v>1370.8960000000002</v>
      </c>
      <c r="H78" s="8"/>
    </row>
    <row r="79" spans="1:8" x14ac:dyDescent="0.2">
      <c r="A79" s="8"/>
      <c r="B79" s="182"/>
      <c r="C79" s="63">
        <v>240</v>
      </c>
      <c r="D79" s="19">
        <v>245</v>
      </c>
      <c r="E79" s="30">
        <f>3.4*AsphaltBinderBase+0.01</f>
        <v>1983.434</v>
      </c>
      <c r="F79" s="30">
        <f>3.45*AsphaltBinderBase</f>
        <v>2012.5920000000001</v>
      </c>
      <c r="G79" s="67">
        <f>2.4*AsphaltBinderBase</f>
        <v>1400.0640000000001</v>
      </c>
      <c r="H79" s="8"/>
    </row>
    <row r="80" spans="1:8" x14ac:dyDescent="0.2">
      <c r="A80" s="8"/>
      <c r="B80" s="182"/>
      <c r="C80" s="63">
        <v>245</v>
      </c>
      <c r="D80" s="19">
        <v>250</v>
      </c>
      <c r="E80" s="30">
        <f>3.45*AsphaltBinderBase+0.01</f>
        <v>2012.6020000000001</v>
      </c>
      <c r="F80" s="30">
        <f>3.5*AsphaltBinderBase</f>
        <v>2041.76</v>
      </c>
      <c r="G80" s="67">
        <f>2.45*AsphaltBinderBase</f>
        <v>1429.2320000000002</v>
      </c>
      <c r="H80" s="8"/>
    </row>
    <row r="81" spans="1:8" x14ac:dyDescent="0.2">
      <c r="A81" s="8"/>
      <c r="B81" s="182"/>
      <c r="C81" s="63">
        <v>250</v>
      </c>
      <c r="D81" s="19">
        <v>255</v>
      </c>
      <c r="E81" s="30">
        <f>3.5*AsphaltBinderBase+0.01</f>
        <v>2041.77</v>
      </c>
      <c r="F81" s="30">
        <f>3.55*AsphaltBinderBase</f>
        <v>2070.9279999999999</v>
      </c>
      <c r="G81" s="67">
        <f>2.5*AsphaltBinderBase</f>
        <v>1458.4</v>
      </c>
      <c r="H81" s="8"/>
    </row>
    <row r="82" spans="1:8" x14ac:dyDescent="0.2">
      <c r="A82" s="8"/>
      <c r="B82" s="182"/>
      <c r="C82" s="63">
        <v>255</v>
      </c>
      <c r="D82" s="19">
        <v>260</v>
      </c>
      <c r="E82" s="30">
        <f>3.55*AsphaltBinderBase+0.01</f>
        <v>2070.9380000000001</v>
      </c>
      <c r="F82" s="30">
        <f>3.6*AsphaltBinderBase</f>
        <v>2100.096</v>
      </c>
      <c r="G82" s="67">
        <f>2.55*AsphaltBinderBase</f>
        <v>1487.568</v>
      </c>
      <c r="H82" s="8"/>
    </row>
    <row r="83" spans="1:8" x14ac:dyDescent="0.2">
      <c r="A83" s="8"/>
      <c r="B83" s="182"/>
      <c r="C83" s="63">
        <v>260</v>
      </c>
      <c r="D83" s="19">
        <v>265</v>
      </c>
      <c r="E83" s="30">
        <f>3.6*AsphaltBinderBase+0.01</f>
        <v>2100.1060000000002</v>
      </c>
      <c r="F83" s="30">
        <f>3.65*AsphaltBinderBase</f>
        <v>2129.2640000000001</v>
      </c>
      <c r="G83" s="67">
        <f>2.6*AsphaltBinderBase</f>
        <v>1516.7360000000001</v>
      </c>
      <c r="H83" s="8"/>
    </row>
    <row r="84" spans="1:8" x14ac:dyDescent="0.2">
      <c r="A84" s="8"/>
      <c r="B84" s="182"/>
      <c r="C84" s="63">
        <v>265</v>
      </c>
      <c r="D84" s="19">
        <v>270</v>
      </c>
      <c r="E84" s="30">
        <f>3.65*AsphaltBinderBase+0.01</f>
        <v>2129.2740000000003</v>
      </c>
      <c r="F84" s="30">
        <f>3.7*AsphaltBinderBase</f>
        <v>2158.4320000000002</v>
      </c>
      <c r="G84" s="67">
        <f>2.65*AsphaltBinderBase</f>
        <v>1545.904</v>
      </c>
      <c r="H84" s="8"/>
    </row>
    <row r="85" spans="1:8" x14ac:dyDescent="0.2">
      <c r="A85" s="8"/>
      <c r="B85" s="182"/>
      <c r="C85" s="63">
        <v>270</v>
      </c>
      <c r="D85" s="19">
        <v>275</v>
      </c>
      <c r="E85" s="30">
        <f>3.7*AsphaltBinderBase+0.01</f>
        <v>2158.4420000000005</v>
      </c>
      <c r="F85" s="30">
        <f>3.75*AsphaltBinderBase</f>
        <v>2187.6</v>
      </c>
      <c r="G85" s="67">
        <f>2.7*AsphaltBinderBase</f>
        <v>1575.0720000000001</v>
      </c>
      <c r="H85" s="8"/>
    </row>
    <row r="86" spans="1:8" x14ac:dyDescent="0.2">
      <c r="A86" s="8"/>
      <c r="B86" s="182"/>
      <c r="C86" s="63">
        <v>275</v>
      </c>
      <c r="D86" s="19">
        <v>280</v>
      </c>
      <c r="E86" s="30">
        <f>3.75*AsphaltBinderBase+0.01</f>
        <v>2187.61</v>
      </c>
      <c r="F86" s="30">
        <f>3.8*AsphaltBinderBase</f>
        <v>2216.768</v>
      </c>
      <c r="G86" s="67">
        <f>2.75*AsphaltBinderBase</f>
        <v>1604.24</v>
      </c>
      <c r="H86" s="8"/>
    </row>
    <row r="87" spans="1:8" x14ac:dyDescent="0.2">
      <c r="A87" s="8"/>
      <c r="B87" s="182"/>
      <c r="C87" s="63">
        <v>280</v>
      </c>
      <c r="D87" s="19">
        <v>285</v>
      </c>
      <c r="E87" s="30">
        <f>3.8*AsphaltBinderBase+0.01</f>
        <v>2216.7780000000002</v>
      </c>
      <c r="F87" s="30">
        <f>3.85*AsphaltBinderBase</f>
        <v>2245.9360000000001</v>
      </c>
      <c r="G87" s="67">
        <f>2.8*AsphaltBinderBase</f>
        <v>1633.4079999999999</v>
      </c>
      <c r="H87" s="8"/>
    </row>
    <row r="88" spans="1:8" x14ac:dyDescent="0.2">
      <c r="A88" s="8"/>
      <c r="B88" s="182"/>
      <c r="C88" s="63">
        <v>285</v>
      </c>
      <c r="D88" s="19">
        <v>290</v>
      </c>
      <c r="E88" s="30">
        <f>3.85*AsphaltBinderBase+0.01</f>
        <v>2245.9460000000004</v>
      </c>
      <c r="F88" s="30">
        <f>3.9*AsphaltBinderBase</f>
        <v>2275.1039999999998</v>
      </c>
      <c r="G88" s="67">
        <f>2.85*AsphaltBinderBase</f>
        <v>1662.576</v>
      </c>
      <c r="H88" s="8"/>
    </row>
    <row r="89" spans="1:8" x14ac:dyDescent="0.2">
      <c r="A89" s="8"/>
      <c r="B89" s="182"/>
      <c r="C89" s="63">
        <v>290</v>
      </c>
      <c r="D89" s="19">
        <v>295</v>
      </c>
      <c r="E89" s="30">
        <f>3.9*AsphaltBinderBase+0.01</f>
        <v>2275.114</v>
      </c>
      <c r="F89" s="30">
        <f>3.95*AsphaltBinderBase</f>
        <v>2304.2719999999999</v>
      </c>
      <c r="G89" s="67">
        <f>2.9*AsphaltBinderBase</f>
        <v>1691.7439999999999</v>
      </c>
      <c r="H89" s="8"/>
    </row>
    <row r="90" spans="1:8" x14ac:dyDescent="0.2">
      <c r="A90" s="8"/>
      <c r="B90" s="182"/>
      <c r="C90" s="63">
        <v>295</v>
      </c>
      <c r="D90" s="19">
        <v>300</v>
      </c>
      <c r="E90" s="30">
        <f>3.95*AsphaltBinderBase+0.01</f>
        <v>2304.2820000000002</v>
      </c>
      <c r="F90" s="30">
        <f>4*AsphaltBinderBase</f>
        <v>2333.44</v>
      </c>
      <c r="G90" s="67">
        <f>2.95*AsphaltBinderBase</f>
        <v>1720.912</v>
      </c>
      <c r="H90" s="8"/>
    </row>
    <row r="91" spans="1:8" x14ac:dyDescent="0.2">
      <c r="A91" s="8"/>
      <c r="B91" s="182"/>
      <c r="C91" s="63">
        <v>300</v>
      </c>
      <c r="D91" s="19">
        <v>305</v>
      </c>
      <c r="E91" s="30">
        <f>4*AsphaltBinderBase+0.01</f>
        <v>2333.4500000000003</v>
      </c>
      <c r="F91" s="30">
        <f>4.05*AsphaltBinderBase</f>
        <v>2362.6080000000002</v>
      </c>
      <c r="G91" s="67">
        <f>3*AsphaltBinderBase</f>
        <v>1750.08</v>
      </c>
      <c r="H91" s="8"/>
    </row>
    <row r="92" spans="1:8" x14ac:dyDescent="0.2">
      <c r="A92" s="8"/>
      <c r="B92" s="182"/>
      <c r="C92" s="63">
        <v>305</v>
      </c>
      <c r="D92" s="19">
        <v>310</v>
      </c>
      <c r="E92" s="30">
        <f>4.05*AsphaltBinderBase+0.01</f>
        <v>2362.6180000000004</v>
      </c>
      <c r="F92" s="30">
        <f>4.1*AsphaltBinderBase</f>
        <v>2391.7759999999998</v>
      </c>
      <c r="G92" s="67">
        <f>3.05*AsphaltBinderBase</f>
        <v>1779.248</v>
      </c>
      <c r="H92" s="8"/>
    </row>
    <row r="93" spans="1:8" x14ac:dyDescent="0.2">
      <c r="A93" s="8"/>
      <c r="B93" s="182"/>
      <c r="C93" s="63">
        <v>310</v>
      </c>
      <c r="D93" s="19">
        <v>315</v>
      </c>
      <c r="E93" s="30">
        <f>4.1*AsphaltBinderBase+0.01</f>
        <v>2391.7860000000001</v>
      </c>
      <c r="F93" s="30">
        <f>4.15*AsphaltBinderBase</f>
        <v>2420.9440000000004</v>
      </c>
      <c r="G93" s="67">
        <f>3.1*AsphaltBinderBase</f>
        <v>1808.4160000000002</v>
      </c>
      <c r="H93" s="8"/>
    </row>
    <row r="94" spans="1:8" x14ac:dyDescent="0.2">
      <c r="A94" s="8"/>
      <c r="B94" s="182"/>
      <c r="C94" s="63">
        <v>315</v>
      </c>
      <c r="D94" s="19">
        <v>320</v>
      </c>
      <c r="E94" s="30">
        <f>4.15*AsphaltBinderBase+0.01</f>
        <v>2420.9540000000006</v>
      </c>
      <c r="F94" s="30">
        <f>4.2*AsphaltBinderBase</f>
        <v>2450.1120000000001</v>
      </c>
      <c r="G94" s="67">
        <f>3.15*AsphaltBinderBase</f>
        <v>1837.5840000000001</v>
      </c>
      <c r="H94" s="8"/>
    </row>
    <row r="95" spans="1:8" x14ac:dyDescent="0.2">
      <c r="A95" s="8"/>
      <c r="B95" s="182"/>
      <c r="C95" s="63">
        <v>320</v>
      </c>
      <c r="D95" s="19">
        <v>325</v>
      </c>
      <c r="E95" s="30">
        <f>4.2*AsphaltBinderBase+0.01</f>
        <v>2450.1220000000003</v>
      </c>
      <c r="F95" s="30">
        <f>4.25*AsphaltBinderBase</f>
        <v>2479.2800000000002</v>
      </c>
      <c r="G95" s="67">
        <f>3.2*AsphaltBinderBase</f>
        <v>1866.7520000000002</v>
      </c>
      <c r="H95" s="8"/>
    </row>
    <row r="96" spans="1:8" x14ac:dyDescent="0.2">
      <c r="A96" s="8"/>
      <c r="B96" s="182"/>
      <c r="C96" s="63">
        <v>325</v>
      </c>
      <c r="D96" s="19">
        <v>330</v>
      </c>
      <c r="E96" s="30">
        <f>4.25*AsphaltBinderBase+0.01</f>
        <v>2479.2900000000004</v>
      </c>
      <c r="F96" s="30">
        <f>4.3*AsphaltBinderBase</f>
        <v>2508.4479999999999</v>
      </c>
      <c r="G96" s="67">
        <f>3.25*AsphaltBinderBase</f>
        <v>1895.92</v>
      </c>
      <c r="H96" s="8"/>
    </row>
    <row r="97" spans="1:8" x14ac:dyDescent="0.2">
      <c r="A97" s="8"/>
      <c r="B97" s="182"/>
      <c r="C97" s="63">
        <v>330</v>
      </c>
      <c r="D97" s="19">
        <v>335</v>
      </c>
      <c r="E97" s="30">
        <f>4.3*AsphaltBinderBase+0.01</f>
        <v>2508.4580000000001</v>
      </c>
      <c r="F97" s="30">
        <f>4.35*AsphaltBinderBase</f>
        <v>2537.616</v>
      </c>
      <c r="G97" s="67">
        <f>3.3*AsphaltBinderBase</f>
        <v>1925.088</v>
      </c>
      <c r="H97" s="8"/>
    </row>
    <row r="98" spans="1:8" x14ac:dyDescent="0.2">
      <c r="A98" s="8"/>
      <c r="B98" s="182"/>
      <c r="C98" s="63">
        <v>335</v>
      </c>
      <c r="D98" s="19">
        <v>340</v>
      </c>
      <c r="E98" s="30">
        <f>4.35*AsphaltBinderBase+0.01</f>
        <v>2537.6260000000002</v>
      </c>
      <c r="F98" s="30">
        <f>4.4*AsphaltBinderBase</f>
        <v>2566.7840000000001</v>
      </c>
      <c r="G98" s="67">
        <f>3.35*AsphaltBinderBase</f>
        <v>1954.2560000000001</v>
      </c>
      <c r="H98" s="8"/>
    </row>
    <row r="99" spans="1:8" x14ac:dyDescent="0.2">
      <c r="A99" s="8"/>
      <c r="B99" s="182"/>
      <c r="C99" s="63">
        <v>340</v>
      </c>
      <c r="D99" s="19">
        <v>345</v>
      </c>
      <c r="E99" s="30">
        <f>4.4*AsphaltBinderBase+0.01</f>
        <v>2566.7940000000003</v>
      </c>
      <c r="F99" s="30">
        <f>4.45*AsphaltBinderBase</f>
        <v>2595.9520000000002</v>
      </c>
      <c r="G99" s="67">
        <f>3.4*AsphaltBinderBase</f>
        <v>1983.424</v>
      </c>
      <c r="H99" s="8"/>
    </row>
    <row r="100" spans="1:8" x14ac:dyDescent="0.2">
      <c r="A100" s="8"/>
      <c r="B100" s="182"/>
      <c r="C100" s="63">
        <v>345</v>
      </c>
      <c r="D100" s="19">
        <v>350</v>
      </c>
      <c r="E100" s="30">
        <f>4.45*AsphaltBinderBase+0.01</f>
        <v>2595.9620000000004</v>
      </c>
      <c r="F100" s="30">
        <f>4.5*AsphaltBinderBase</f>
        <v>2625.12</v>
      </c>
      <c r="G100" s="67">
        <f>3.45*AsphaltBinderBase</f>
        <v>2012.5920000000001</v>
      </c>
      <c r="H100" s="8"/>
    </row>
    <row r="101" spans="1:8" x14ac:dyDescent="0.2">
      <c r="A101" s="8"/>
      <c r="B101" s="182"/>
      <c r="C101" s="63">
        <v>350</v>
      </c>
      <c r="D101" s="19">
        <v>355</v>
      </c>
      <c r="E101" s="30">
        <f>4.5*AsphaltBinderBase+0.01</f>
        <v>2625.13</v>
      </c>
      <c r="F101" s="30">
        <f>4.55*AsphaltBinderBase</f>
        <v>2654.288</v>
      </c>
      <c r="G101" s="67">
        <f>3.5*AsphaltBinderBase</f>
        <v>2041.76</v>
      </c>
      <c r="H101" s="8"/>
    </row>
    <row r="102" spans="1:8" x14ac:dyDescent="0.2">
      <c r="A102" s="8"/>
      <c r="B102" s="182"/>
      <c r="C102" s="63">
        <v>355</v>
      </c>
      <c r="D102" s="19">
        <v>360</v>
      </c>
      <c r="E102" s="30">
        <f>4.55*AsphaltBinderBase+0.01</f>
        <v>2654.2980000000002</v>
      </c>
      <c r="F102" s="30">
        <f>4.6*AsphaltBinderBase</f>
        <v>2683.4559999999997</v>
      </c>
      <c r="G102" s="67">
        <f>3.55*AsphaltBinderBase</f>
        <v>2070.9279999999999</v>
      </c>
      <c r="H102" s="8"/>
    </row>
    <row r="103" spans="1:8" x14ac:dyDescent="0.2">
      <c r="A103" s="8"/>
      <c r="B103" s="182"/>
      <c r="C103" s="63">
        <v>360</v>
      </c>
      <c r="D103" s="19">
        <v>365</v>
      </c>
      <c r="E103" s="30">
        <f>4.6*AsphaltBinderBase+0.01</f>
        <v>2683.4659999999999</v>
      </c>
      <c r="F103" s="30">
        <f>4.65*AsphaltBinderBase</f>
        <v>2712.6240000000003</v>
      </c>
      <c r="G103" s="67">
        <f>3.6*AsphaltBinderBase</f>
        <v>2100.096</v>
      </c>
      <c r="H103" s="8"/>
    </row>
    <row r="104" spans="1:8" x14ac:dyDescent="0.2">
      <c r="A104" s="8"/>
      <c r="B104" s="182"/>
      <c r="C104" s="63">
        <v>365</v>
      </c>
      <c r="D104" s="19">
        <v>370</v>
      </c>
      <c r="E104" s="30">
        <f>4.65*AsphaltBinderBase+0.01</f>
        <v>2712.6340000000005</v>
      </c>
      <c r="F104" s="30">
        <f>4.7*AsphaltBinderBase</f>
        <v>2741.7920000000004</v>
      </c>
      <c r="G104" s="67">
        <f>3.65*AsphaltBinderBase</f>
        <v>2129.2640000000001</v>
      </c>
      <c r="H104" s="8"/>
    </row>
    <row r="105" spans="1:8" x14ac:dyDescent="0.2">
      <c r="A105" s="8"/>
      <c r="B105" s="183"/>
      <c r="C105" s="69">
        <v>370</v>
      </c>
      <c r="D105" s="55">
        <v>375</v>
      </c>
      <c r="E105" s="58">
        <f>4.7*AsphaltBinderBase+0.01</f>
        <v>2741.8020000000006</v>
      </c>
      <c r="F105" s="58">
        <f>4.75*AsphaltBinderBase</f>
        <v>2770.96</v>
      </c>
      <c r="G105" s="68">
        <f>3.7*AsphaltBinderBase</f>
        <v>2158.4320000000002</v>
      </c>
      <c r="H105" s="8"/>
    </row>
    <row r="106" spans="1:8" x14ac:dyDescent="0.2">
      <c r="A106" s="8"/>
      <c r="B106" s="8"/>
      <c r="C106" s="8"/>
      <c r="D106" s="8"/>
      <c r="E106" s="8"/>
      <c r="F106" s="8"/>
      <c r="G106" s="8"/>
      <c r="H106" s="8"/>
    </row>
    <row r="107" spans="1:8" x14ac:dyDescent="0.2">
      <c r="A107" s="8"/>
      <c r="B107" s="8"/>
      <c r="C107" s="8"/>
      <c r="D107" s="8"/>
      <c r="E107" s="8"/>
      <c r="F107" s="8"/>
      <c r="G107" s="8"/>
      <c r="H107" s="8"/>
    </row>
    <row r="108" spans="1:8" x14ac:dyDescent="0.2">
      <c r="A108" s="8"/>
      <c r="B108" s="8"/>
      <c r="C108" s="8"/>
      <c r="D108" s="8"/>
      <c r="E108" s="8"/>
      <c r="F108" s="8"/>
      <c r="G108" s="8"/>
      <c r="H108" s="8"/>
    </row>
  </sheetData>
  <sheetProtection algorithmName="SHA-512" hashValue="z4MdVeK+eqConrGpz29Jlqh1msPFPhZy8Q+yUnxyP6qdMhNtBnaJVAwhkn7gqM1Mg9jBTILRkMSUt5+J2pCPjg==" saltValue="LbzPlDxWSNsr8LbvnbKM9Q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2"/>
  <sheetViews>
    <sheetView zoomScale="130" zoomScaleNormal="130" workbookViewId="0">
      <selection activeCell="I8" sqref="I8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ht="15.75" x14ac:dyDescent="0.25">
      <c r="A2" s="8"/>
      <c r="B2" s="190" t="s">
        <v>45</v>
      </c>
      <c r="C2" s="190"/>
      <c r="D2" s="190"/>
      <c r="E2" s="190"/>
      <c r="F2" s="190"/>
      <c r="G2" s="8"/>
      <c r="H2" s="8"/>
    </row>
    <row r="3" spans="1:8" x14ac:dyDescent="0.2">
      <c r="A3" s="8"/>
      <c r="B3" s="1"/>
      <c r="C3" s="1"/>
      <c r="D3" s="31" t="s">
        <v>46</v>
      </c>
      <c r="E3" s="32">
        <f>AsphaltBinderBase</f>
        <v>583.36</v>
      </c>
      <c r="F3" s="1"/>
      <c r="G3" s="8"/>
      <c r="H3" s="8"/>
    </row>
    <row r="4" spans="1:8" x14ac:dyDescent="0.2">
      <c r="A4" s="8"/>
      <c r="B4" s="1"/>
      <c r="C4" s="1"/>
      <c r="D4" s="31" t="s">
        <v>47</v>
      </c>
      <c r="E4" s="32">
        <f>AsphaltBinderCurrent</f>
        <v>583.36</v>
      </c>
      <c r="F4" s="1"/>
      <c r="G4" s="8"/>
      <c r="H4" s="8"/>
    </row>
    <row r="5" spans="1:8" ht="51" x14ac:dyDescent="0.2">
      <c r="A5" s="8"/>
      <c r="B5" s="33" t="s">
        <v>48</v>
      </c>
      <c r="C5" s="34" t="s">
        <v>49</v>
      </c>
      <c r="D5" s="35" t="s">
        <v>50</v>
      </c>
      <c r="E5" s="35" t="s">
        <v>51</v>
      </c>
      <c r="F5" s="35" t="s">
        <v>52</v>
      </c>
      <c r="G5" s="8"/>
      <c r="H5" s="8"/>
    </row>
    <row r="6" spans="1:8" ht="15" x14ac:dyDescent="0.25">
      <c r="A6" s="8"/>
      <c r="B6" s="71" t="s">
        <v>55</v>
      </c>
      <c r="C6" s="72"/>
      <c r="D6" s="72"/>
      <c r="E6" s="72"/>
      <c r="F6" s="73"/>
      <c r="G6" s="8"/>
      <c r="H6" s="8"/>
    </row>
    <row r="7" spans="1:8" x14ac:dyDescent="0.2">
      <c r="A7" s="8"/>
      <c r="B7" s="74" t="s">
        <v>53</v>
      </c>
      <c r="C7" s="34" t="s">
        <v>21</v>
      </c>
      <c r="D7" s="34">
        <v>0.28000000000000003</v>
      </c>
      <c r="E7" s="34">
        <f>D7*0.65/235</f>
        <v>7.7446808510638304E-4</v>
      </c>
      <c r="F7" s="36">
        <f>E7*AsphaltBinderChange</f>
        <v>0</v>
      </c>
      <c r="G7" s="8"/>
      <c r="H7" s="8"/>
    </row>
    <row r="8" spans="1:8" x14ac:dyDescent="0.2">
      <c r="A8" s="8"/>
      <c r="B8" s="74" t="s">
        <v>54</v>
      </c>
      <c r="C8" s="1"/>
      <c r="D8" s="1"/>
      <c r="E8" s="1"/>
      <c r="F8" s="1"/>
      <c r="G8" s="8"/>
      <c r="H8" s="8"/>
    </row>
    <row r="9" spans="1:8" x14ac:dyDescent="0.2">
      <c r="A9" s="8"/>
      <c r="B9" s="75" t="s">
        <v>61</v>
      </c>
      <c r="C9" s="34" t="s">
        <v>21</v>
      </c>
      <c r="D9" s="34">
        <v>0.55000000000000004</v>
      </c>
      <c r="E9" s="34">
        <f>D9*0.65/235</f>
        <v>1.521276595744681E-3</v>
      </c>
      <c r="F9" s="36">
        <f>E9*AsphaltBinderChange</f>
        <v>0</v>
      </c>
      <c r="G9" s="8"/>
      <c r="H9" s="8"/>
    </row>
    <row r="10" spans="1:8" x14ac:dyDescent="0.2">
      <c r="A10" s="8"/>
      <c r="B10" s="75" t="s">
        <v>62</v>
      </c>
      <c r="C10" s="34" t="s">
        <v>21</v>
      </c>
      <c r="D10" s="34">
        <v>0.46</v>
      </c>
      <c r="E10" s="34">
        <f>D10*0.65/235</f>
        <v>1.2723404255319151E-3</v>
      </c>
      <c r="F10" s="36">
        <f>E10*AsphaltBinderChange</f>
        <v>0</v>
      </c>
      <c r="G10" s="8"/>
      <c r="H10" s="8"/>
    </row>
    <row r="11" spans="1:8" x14ac:dyDescent="0.2">
      <c r="A11" s="8"/>
      <c r="B11" s="75" t="s">
        <v>63</v>
      </c>
      <c r="C11" s="34" t="s">
        <v>21</v>
      </c>
      <c r="D11" s="34">
        <v>0.48</v>
      </c>
      <c r="E11" s="34">
        <f>D11*0.65/235</f>
        <v>1.3276595744680852E-3</v>
      </c>
      <c r="F11" s="36">
        <f>E11*AsphaltBinderChange</f>
        <v>0</v>
      </c>
      <c r="G11" s="8"/>
      <c r="H11" s="8"/>
    </row>
    <row r="12" spans="1:8" x14ac:dyDescent="0.2">
      <c r="A12" s="8"/>
      <c r="B12" s="75"/>
      <c r="C12" s="34"/>
      <c r="D12" s="34"/>
      <c r="E12" s="34"/>
      <c r="F12" s="36"/>
      <c r="G12" s="8"/>
      <c r="H12" s="8"/>
    </row>
    <row r="13" spans="1:8" x14ac:dyDescent="0.2">
      <c r="A13" s="8"/>
      <c r="B13" s="75"/>
      <c r="C13" s="34"/>
      <c r="D13" s="34"/>
      <c r="E13" s="34"/>
      <c r="F13" s="36"/>
      <c r="G13" s="8"/>
      <c r="H13" s="8"/>
    </row>
    <row r="14" spans="1:8" x14ac:dyDescent="0.2">
      <c r="A14" s="8"/>
      <c r="B14" s="76"/>
      <c r="C14" s="77"/>
      <c r="D14" s="77"/>
      <c r="E14" s="77"/>
      <c r="F14" s="78"/>
      <c r="G14" s="8"/>
      <c r="H14" s="8"/>
    </row>
    <row r="15" spans="1:8" x14ac:dyDescent="0.2">
      <c r="A15" s="8"/>
      <c r="B15" s="76" t="s">
        <v>58</v>
      </c>
      <c r="C15" s="34" t="s">
        <v>21</v>
      </c>
      <c r="D15" s="34">
        <v>0.71</v>
      </c>
      <c r="E15" s="34">
        <f>D15*0.65/235</f>
        <v>1.9638297872340425E-3</v>
      </c>
      <c r="F15" s="36">
        <f>E15*AsphaltBinderChange</f>
        <v>0</v>
      </c>
      <c r="G15" s="8"/>
      <c r="H15" s="8"/>
    </row>
    <row r="16" spans="1:8" x14ac:dyDescent="0.2">
      <c r="A16" s="8"/>
      <c r="B16" s="75"/>
      <c r="C16" s="34"/>
      <c r="D16" s="34"/>
      <c r="E16" s="34"/>
      <c r="F16" s="36"/>
      <c r="G16" s="8"/>
      <c r="H16" s="8"/>
    </row>
    <row r="17" spans="1:8" x14ac:dyDescent="0.2">
      <c r="A17" s="8"/>
      <c r="B17" s="75"/>
      <c r="C17" s="34"/>
      <c r="D17" s="34"/>
      <c r="E17" s="34"/>
      <c r="F17" s="36"/>
      <c r="G17" s="8"/>
      <c r="H17" s="8"/>
    </row>
    <row r="18" spans="1:8" x14ac:dyDescent="0.2">
      <c r="A18" s="8"/>
      <c r="B18" s="8"/>
      <c r="C18" s="8"/>
      <c r="D18" s="8"/>
      <c r="E18" s="8"/>
      <c r="F18" s="8"/>
      <c r="G18" s="8"/>
      <c r="H18" s="8"/>
    </row>
    <row r="19" spans="1:8" x14ac:dyDescent="0.2">
      <c r="A19" s="8"/>
      <c r="B19" s="8"/>
      <c r="C19" s="8"/>
      <c r="D19" s="8"/>
      <c r="E19" s="8"/>
      <c r="F19" s="8"/>
      <c r="G19" s="8"/>
      <c r="H19" s="8"/>
    </row>
    <row r="20" spans="1:8" x14ac:dyDescent="0.2">
      <c r="A20" s="8"/>
      <c r="B20" s="8"/>
      <c r="C20" s="8"/>
      <c r="D20" s="8"/>
      <c r="E20" s="8"/>
      <c r="F20" s="8"/>
      <c r="G20" s="8"/>
      <c r="H20" s="8"/>
    </row>
    <row r="21" spans="1:8" x14ac:dyDescent="0.2">
      <c r="A21" s="8"/>
      <c r="B21" s="8"/>
      <c r="C21" s="8"/>
      <c r="D21" s="8"/>
      <c r="E21" s="8"/>
      <c r="F21" s="8"/>
      <c r="G21" s="8"/>
      <c r="H21" s="8"/>
    </row>
    <row r="22" spans="1:8" x14ac:dyDescent="0.2">
      <c r="A22" s="8"/>
      <c r="B22" s="8"/>
      <c r="C22" s="8"/>
      <c r="D22" s="8"/>
      <c r="E22" s="8"/>
      <c r="F22" s="8"/>
      <c r="G22" s="8"/>
      <c r="H22" s="8"/>
    </row>
  </sheetData>
  <sheetProtection algorithmName="SHA-512" hashValue="nY22SCwM5BcLsmLsPFLldeNzl2BBqUNMYKMZeGtcT7xqCgg2CH7C9EbIXjlXForU+gQE1FER4GCxIz1gNLYaTA==" saltValue="vTd3FWjYUR8/b5PXBSXIX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DEFB5E-E654-44EA-AC0C-566E3C931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708933-E73D-449F-851C-D4246C0FF3C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46A833-28DD-464D-B53D-85BB8931F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Robinson, Desinique M.</cp:lastModifiedBy>
  <cp:lastPrinted>2011-06-17T15:19:45Z</cp:lastPrinted>
  <dcterms:created xsi:type="dcterms:W3CDTF">2006-08-02T15:15:53Z</dcterms:created>
  <dcterms:modified xsi:type="dcterms:W3CDTF">2025-01-02T15:32:00Z</dcterms:modified>
</cp:coreProperties>
</file>