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binsondm\Downloads\AEM\"/>
    </mc:Choice>
  </mc:AlternateContent>
  <workbookProtection workbookAlgorithmName="SHA-512" workbookHashValue="x2rpfVlKb60qmJ1Y0aYzYFG9/n7DlyKtlwY0NbdOWAb4swz8BEh9SlBOI3Tw2dIiTQg8g7ZCHi+mdUlNCZ7pIQ==" workbookSaltValue="YS2EptkzqYIfvYzmI/N0zw==" workbookSpinCount="100000" lockStructure="1"/>
  <bookViews>
    <workbookView xWindow="28680" yWindow="-120" windowWidth="29040" windowHeight="16440" tabRatio="845" activeTab="1"/>
  </bookViews>
  <sheets>
    <sheet name="Index Dates and Adjustments" sheetId="1" r:id="rId1"/>
    <sheet name="Maintain Indexes" sheetId="2" r:id="rId2"/>
    <sheet name="Fuel Charts" sheetId="3" r:id="rId3"/>
    <sheet name="AC Binder Chart" sheetId="4" r:id="rId4"/>
    <sheet name="Bit. Surf. Chart" sheetId="5" r:id="rId5"/>
  </sheets>
  <definedNames>
    <definedName name="AsphaltBinderBase">'Index Dates and Adjustments'!$C$8</definedName>
    <definedName name="AsphaltBinderChange">'AC Binder Chart'!$E$6</definedName>
    <definedName name="AsphaltBinderCurrent">'Index Dates and Adjustments'!$I$8</definedName>
    <definedName name="DieselBase">'Index Dates and Adjustments'!$D$8</definedName>
    <definedName name="DieselChange">'Fuel Charts'!$E$7</definedName>
    <definedName name="DieselCurrent">'Index Dates and Adjustments'!$J$8</definedName>
    <definedName name="MaintainIndexes">'Maintain Indexes'!$B$4:$E$126</definedName>
    <definedName name="UnleadedBase">'Index Dates and Adjustments'!$E$8</definedName>
    <definedName name="UnleadedChange">'Fuel Charts'!$E$62</definedName>
    <definedName name="UnleadedCurrent">'Index Dates and Adjustments'!$K$8</definedName>
    <definedName name="Validdates">'Maintain Indexes'!$B$4:$B$126</definedName>
  </definedNames>
  <calcPr calcId="162913"/>
</workbook>
</file>

<file path=xl/calcChain.xml><?xml version="1.0" encoding="utf-8"?>
<calcChain xmlns="http://schemas.openxmlformats.org/spreadsheetml/2006/main">
  <c r="C8" i="1" l="1"/>
  <c r="E35" i="4" l="1"/>
  <c r="I8" i="1"/>
  <c r="E4" i="5" s="1"/>
  <c r="E10" i="5"/>
  <c r="E11" i="5"/>
  <c r="E9" i="5"/>
  <c r="E7" i="5"/>
  <c r="E15" i="5"/>
  <c r="D8" i="1"/>
  <c r="E50" i="3" s="1"/>
  <c r="E8" i="1"/>
  <c r="G78" i="3" s="1"/>
  <c r="K8" i="1"/>
  <c r="E61" i="3" s="1"/>
  <c r="J8" i="1"/>
  <c r="E6" i="3" s="1"/>
  <c r="E85" i="4" l="1"/>
  <c r="E90" i="4"/>
  <c r="E16" i="4"/>
  <c r="E97" i="4"/>
  <c r="F79" i="4"/>
  <c r="F33" i="4"/>
  <c r="F45" i="4"/>
  <c r="E41" i="4"/>
  <c r="F89" i="3"/>
  <c r="F54" i="4"/>
  <c r="E3" i="5"/>
  <c r="G90" i="3"/>
  <c r="E87" i="4"/>
  <c r="F68" i="4"/>
  <c r="E81" i="4"/>
  <c r="E105" i="4"/>
  <c r="F96" i="4"/>
  <c r="F22" i="4"/>
  <c r="E84" i="4"/>
  <c r="F40" i="4"/>
  <c r="G65" i="4"/>
  <c r="G91" i="4"/>
  <c r="G37" i="4"/>
  <c r="F26" i="4"/>
  <c r="F63" i="4"/>
  <c r="G60" i="4"/>
  <c r="G84" i="4"/>
  <c r="F91" i="4"/>
  <c r="F88" i="4"/>
  <c r="G87" i="4"/>
  <c r="E95" i="4"/>
  <c r="F19" i="4"/>
  <c r="G42" i="4"/>
  <c r="E93" i="4"/>
  <c r="G61" i="4"/>
  <c r="G62" i="4"/>
  <c r="G82" i="4"/>
  <c r="G27" i="4"/>
  <c r="F75" i="4"/>
  <c r="F28" i="4"/>
  <c r="E74" i="4"/>
  <c r="F82" i="4"/>
  <c r="G36" i="4"/>
  <c r="E49" i="4"/>
  <c r="G57" i="4"/>
  <c r="G50" i="3"/>
  <c r="G43" i="3"/>
  <c r="G42" i="3"/>
  <c r="F30" i="3"/>
  <c r="G83" i="3"/>
  <c r="F48" i="3"/>
  <c r="E82" i="4"/>
  <c r="F15" i="4"/>
  <c r="F97" i="4"/>
  <c r="G103" i="4"/>
  <c r="G43" i="4"/>
  <c r="F38" i="4"/>
  <c r="F78" i="4"/>
  <c r="G12" i="4"/>
  <c r="E12" i="4"/>
  <c r="E51" i="4"/>
  <c r="G78" i="4"/>
  <c r="F50" i="4"/>
  <c r="G72" i="3"/>
  <c r="E74" i="3"/>
  <c r="E58" i="4"/>
  <c r="F41" i="4"/>
  <c r="E61" i="4"/>
  <c r="F46" i="4"/>
  <c r="F72" i="4"/>
  <c r="E20" i="4"/>
  <c r="E13" i="4"/>
  <c r="G56" i="4"/>
  <c r="F71" i="4"/>
  <c r="G29" i="4"/>
  <c r="G75" i="4"/>
  <c r="E48" i="4"/>
  <c r="G63" i="4"/>
  <c r="G50" i="4"/>
  <c r="E65" i="4"/>
  <c r="E67" i="4"/>
  <c r="G21" i="4"/>
  <c r="G39" i="4"/>
  <c r="F101" i="4"/>
  <c r="E103" i="4"/>
  <c r="G15" i="4"/>
  <c r="E38" i="4"/>
  <c r="E15" i="4"/>
  <c r="G35" i="4"/>
  <c r="G92" i="4"/>
  <c r="E23" i="4"/>
  <c r="G20" i="4"/>
  <c r="E68" i="4"/>
  <c r="G51" i="4"/>
  <c r="E70" i="4"/>
  <c r="E100" i="4"/>
  <c r="E31" i="4"/>
  <c r="F67" i="4"/>
  <c r="E27" i="4"/>
  <c r="G16" i="4"/>
  <c r="G59" i="4"/>
  <c r="G85" i="4"/>
  <c r="E44" i="4"/>
  <c r="G98" i="4"/>
  <c r="G30" i="4"/>
  <c r="F74" i="4"/>
  <c r="E40" i="4"/>
  <c r="G102" i="4"/>
  <c r="F73" i="4"/>
  <c r="F52" i="4"/>
  <c r="E57" i="4"/>
  <c r="F84" i="4"/>
  <c r="E24" i="4"/>
  <c r="E30" i="4"/>
  <c r="F60" i="4"/>
  <c r="F90" i="4"/>
  <c r="G76" i="4"/>
  <c r="F25" i="4"/>
  <c r="F51" i="4"/>
  <c r="E72" i="4"/>
  <c r="F59" i="4"/>
  <c r="F29" i="4"/>
  <c r="G80" i="4"/>
  <c r="G33" i="4"/>
  <c r="F53" i="4"/>
  <c r="G97" i="4"/>
  <c r="F48" i="4"/>
  <c r="F92" i="4"/>
  <c r="F11" i="4"/>
  <c r="E32" i="4"/>
  <c r="E71" i="4"/>
  <c r="E21" i="4"/>
  <c r="E28" i="4"/>
  <c r="G55" i="4"/>
  <c r="E33" i="4"/>
  <c r="F86" i="4"/>
  <c r="G67" i="4"/>
  <c r="G72" i="4"/>
  <c r="G49" i="4"/>
  <c r="F21" i="4"/>
  <c r="F104" i="4"/>
  <c r="F43" i="4"/>
  <c r="G83" i="4"/>
  <c r="F65" i="4"/>
  <c r="G34" i="4"/>
  <c r="E63" i="4"/>
  <c r="E98" i="4"/>
  <c r="F81" i="3"/>
  <c r="G95" i="3"/>
  <c r="E22" i="4"/>
  <c r="E101" i="4"/>
  <c r="G14" i="4"/>
  <c r="G28" i="4"/>
  <c r="E26" i="4"/>
  <c r="F16" i="4"/>
  <c r="E45" i="4"/>
  <c r="G70" i="4"/>
  <c r="G104" i="4"/>
  <c r="G38" i="4"/>
  <c r="F17" i="4"/>
  <c r="F35" i="4"/>
  <c r="E43" i="4"/>
  <c r="E75" i="4"/>
  <c r="F42" i="4"/>
  <c r="F103" i="4"/>
  <c r="F61" i="4"/>
  <c r="E47" i="4"/>
  <c r="G89" i="4"/>
  <c r="F76" i="4"/>
  <c r="F27" i="4"/>
  <c r="G79" i="4"/>
  <c r="G100" i="4"/>
  <c r="F80" i="4"/>
  <c r="E56" i="4"/>
  <c r="E78" i="4"/>
  <c r="F81" i="4"/>
  <c r="E92" i="3"/>
  <c r="E66" i="4"/>
  <c r="E83" i="3"/>
  <c r="F32" i="4"/>
  <c r="E53" i="4"/>
  <c r="F36" i="4"/>
  <c r="F89" i="4"/>
  <c r="G45" i="4"/>
  <c r="F69" i="4"/>
  <c r="E50" i="4"/>
  <c r="E29" i="4"/>
  <c r="F99" i="4"/>
  <c r="F70" i="4"/>
  <c r="E11" i="4"/>
  <c r="F14" i="4"/>
  <c r="G22" i="4"/>
  <c r="G73" i="4"/>
  <c r="F58" i="4"/>
  <c r="E19" i="4"/>
  <c r="G71" i="4"/>
  <c r="G44" i="4"/>
  <c r="F93" i="4"/>
  <c r="F55" i="4"/>
  <c r="F18" i="4"/>
  <c r="E80" i="4"/>
  <c r="E59" i="4"/>
  <c r="G68" i="4"/>
  <c r="E37" i="4"/>
  <c r="G101" i="4"/>
  <c r="F94" i="4"/>
  <c r="E35" i="3"/>
  <c r="G16" i="3"/>
  <c r="F42" i="3"/>
  <c r="G15" i="3"/>
  <c r="G40" i="3"/>
  <c r="G51" i="3"/>
  <c r="E18" i="3"/>
  <c r="G19" i="3"/>
  <c r="E27" i="3"/>
  <c r="G33" i="3"/>
  <c r="G49" i="3"/>
  <c r="E14" i="3"/>
  <c r="F12" i="3"/>
  <c r="G25" i="3"/>
  <c r="G29" i="3"/>
  <c r="G13" i="3"/>
  <c r="G35" i="3"/>
  <c r="F31" i="3"/>
  <c r="E13" i="3"/>
  <c r="F23" i="3"/>
  <c r="G22" i="3"/>
  <c r="E38" i="3"/>
  <c r="E29" i="3"/>
  <c r="G46" i="3"/>
  <c r="F82" i="3"/>
  <c r="E102" i="3"/>
  <c r="F88" i="3"/>
  <c r="G75" i="3"/>
  <c r="F67" i="3"/>
  <c r="F97" i="3"/>
  <c r="F73" i="3"/>
  <c r="F95" i="3"/>
  <c r="E88" i="3"/>
  <c r="E82" i="3"/>
  <c r="F106" i="3"/>
  <c r="F76" i="3"/>
  <c r="G80" i="3"/>
  <c r="E98" i="3"/>
  <c r="F69" i="3"/>
  <c r="G99" i="3"/>
  <c r="G95" i="4"/>
  <c r="E92" i="4"/>
  <c r="G54" i="4"/>
  <c r="E25" i="4"/>
  <c r="F37" i="4"/>
  <c r="G32" i="4"/>
  <c r="E73" i="4"/>
  <c r="G46" i="4"/>
  <c r="G24" i="4"/>
  <c r="F79" i="3"/>
  <c r="G77" i="3"/>
  <c r="G92" i="3"/>
  <c r="G103" i="3"/>
  <c r="F92" i="3"/>
  <c r="F86" i="3"/>
  <c r="G67" i="3"/>
  <c r="F102" i="3"/>
  <c r="E73" i="3"/>
  <c r="E94" i="3"/>
  <c r="E91" i="3"/>
  <c r="E86" i="3"/>
  <c r="F94" i="3"/>
  <c r="G93" i="3"/>
  <c r="G97" i="3"/>
  <c r="F75" i="3"/>
  <c r="G84" i="3"/>
  <c r="F78" i="3"/>
  <c r="G100" i="3"/>
  <c r="E95" i="3"/>
  <c r="G89" i="3"/>
  <c r="F72" i="3"/>
  <c r="E89" i="3"/>
  <c r="G71" i="3"/>
  <c r="F91" i="3"/>
  <c r="G76" i="3"/>
  <c r="E14" i="4"/>
  <c r="G47" i="4"/>
  <c r="G77" i="4"/>
  <c r="G104" i="3"/>
  <c r="E79" i="3"/>
  <c r="G85" i="3"/>
  <c r="E15" i="3"/>
  <c r="E12" i="3"/>
  <c r="E5" i="3"/>
  <c r="F37" i="3"/>
  <c r="G45" i="3"/>
  <c r="G24" i="3"/>
  <c r="G27" i="3"/>
  <c r="F19" i="3"/>
  <c r="E22" i="3"/>
  <c r="G44" i="3"/>
  <c r="E41" i="3"/>
  <c r="F39" i="3"/>
  <c r="F21" i="3"/>
  <c r="F26" i="3"/>
  <c r="E36" i="3"/>
  <c r="F13" i="3"/>
  <c r="F27" i="3"/>
  <c r="F49" i="3"/>
  <c r="F18" i="3"/>
  <c r="F20" i="3"/>
  <c r="G31" i="3"/>
  <c r="F29" i="3"/>
  <c r="F38" i="3"/>
  <c r="E33" i="3"/>
  <c r="F40" i="3"/>
  <c r="G20" i="3"/>
  <c r="G12" i="3"/>
  <c r="E51" i="3"/>
  <c r="G34" i="3"/>
  <c r="G28" i="3"/>
  <c r="E48" i="3"/>
  <c r="F33" i="3"/>
  <c r="E28" i="3"/>
  <c r="E42" i="3"/>
  <c r="F14" i="3"/>
  <c r="E37" i="3"/>
  <c r="F24" i="3"/>
  <c r="E34" i="3"/>
  <c r="E17" i="3"/>
  <c r="F44" i="3"/>
  <c r="F47" i="3"/>
  <c r="F34" i="3"/>
  <c r="G47" i="3"/>
  <c r="G37" i="3"/>
  <c r="G23" i="3"/>
  <c r="F25" i="3"/>
  <c r="G39" i="3"/>
  <c r="F35" i="3"/>
  <c r="G17" i="3"/>
  <c r="F45" i="3"/>
  <c r="E44" i="3"/>
  <c r="F32" i="3"/>
  <c r="G21" i="3"/>
  <c r="G41" i="3"/>
  <c r="F15" i="3"/>
  <c r="G36" i="3"/>
  <c r="G18" i="3"/>
  <c r="E43" i="3"/>
  <c r="E25" i="3"/>
  <c r="E39" i="3"/>
  <c r="E49" i="3"/>
  <c r="E46" i="3"/>
  <c r="E16" i="3"/>
  <c r="E47" i="3"/>
  <c r="E21" i="3"/>
  <c r="E31" i="3"/>
  <c r="F46" i="3"/>
  <c r="G26" i="3"/>
  <c r="E19" i="3"/>
  <c r="E24" i="3"/>
  <c r="G32" i="3"/>
  <c r="F17" i="3"/>
  <c r="G38" i="3"/>
  <c r="E23" i="3"/>
  <c r="E20" i="3"/>
  <c r="F51" i="3"/>
  <c r="F43" i="3"/>
  <c r="F36" i="3"/>
  <c r="F41" i="3"/>
  <c r="E40" i="3"/>
  <c r="G48" i="3"/>
  <c r="E30" i="3"/>
  <c r="F16" i="3"/>
  <c r="E26" i="3"/>
  <c r="F50" i="3"/>
  <c r="G14" i="3"/>
  <c r="F22" i="3"/>
  <c r="F28" i="3"/>
  <c r="E32" i="3"/>
  <c r="E45" i="3"/>
  <c r="G30" i="3"/>
  <c r="E5" i="4"/>
  <c r="G81" i="3"/>
  <c r="F101" i="3"/>
  <c r="G74" i="3"/>
  <c r="F90" i="3"/>
  <c r="G73" i="3"/>
  <c r="E71" i="3"/>
  <c r="F77" i="4"/>
  <c r="G48" i="4"/>
  <c r="F56" i="4"/>
  <c r="G18" i="4"/>
  <c r="G11" i="4"/>
  <c r="G40" i="4"/>
  <c r="G88" i="4"/>
  <c r="E60" i="4"/>
  <c r="G17" i="4"/>
  <c r="E46" i="4"/>
  <c r="E94" i="4"/>
  <c r="G66" i="4"/>
  <c r="E83" i="4"/>
  <c r="F39" i="4"/>
  <c r="E39" i="4"/>
  <c r="F100" i="4"/>
  <c r="E104" i="4"/>
  <c r="F12" i="4"/>
  <c r="E54" i="4"/>
  <c r="F64" i="4"/>
  <c r="E62" i="4"/>
  <c r="F85" i="4"/>
  <c r="E102" i="4"/>
  <c r="E55" i="4"/>
  <c r="E89" i="4"/>
  <c r="F20" i="4"/>
  <c r="E4" i="4"/>
  <c r="E77" i="4"/>
  <c r="G94" i="4"/>
  <c r="G93" i="4"/>
  <c r="G25" i="4"/>
  <c r="F57" i="4"/>
  <c r="E99" i="4"/>
  <c r="G26" i="4"/>
  <c r="F95" i="4"/>
  <c r="F87" i="4"/>
  <c r="E69" i="4"/>
  <c r="F66" i="4"/>
  <c r="F34" i="4"/>
  <c r="F30" i="4"/>
  <c r="E36" i="4"/>
  <c r="G86" i="4"/>
  <c r="E17" i="4"/>
  <c r="G23" i="4"/>
  <c r="G31" i="4"/>
  <c r="F49" i="4"/>
  <c r="F102" i="4"/>
  <c r="E34" i="4"/>
  <c r="F13" i="4"/>
  <c r="G64" i="4"/>
  <c r="E64" i="4"/>
  <c r="G13" i="4"/>
  <c r="G69" i="4"/>
  <c r="G81" i="4"/>
  <c r="E52" i="4"/>
  <c r="E18" i="4"/>
  <c r="F31" i="4"/>
  <c r="F62" i="4"/>
  <c r="E42" i="4"/>
  <c r="F83" i="4"/>
  <c r="E96" i="4"/>
  <c r="G52" i="4"/>
  <c r="G90" i="4"/>
  <c r="G19" i="4"/>
  <c r="F24" i="4"/>
  <c r="G105" i="4"/>
  <c r="F98" i="4"/>
  <c r="G41" i="4"/>
  <c r="G99" i="4"/>
  <c r="E86" i="4"/>
  <c r="G58" i="4"/>
  <c r="F105" i="4"/>
  <c r="G74" i="4"/>
  <c r="E76" i="4"/>
  <c r="G53" i="4"/>
  <c r="F44" i="4"/>
  <c r="F23" i="4"/>
  <c r="E88" i="4"/>
  <c r="G96" i="4"/>
  <c r="F47" i="4"/>
  <c r="E79" i="4"/>
  <c r="E91" i="4"/>
  <c r="G96" i="3"/>
  <c r="E97" i="3"/>
  <c r="G87" i="3"/>
  <c r="E104" i="3"/>
  <c r="E99" i="3"/>
  <c r="G106" i="3"/>
  <c r="E101" i="3"/>
  <c r="E70" i="3"/>
  <c r="E80" i="3"/>
  <c r="F71" i="3"/>
  <c r="E93" i="3"/>
  <c r="G82" i="3"/>
  <c r="G70" i="3"/>
  <c r="F103" i="3"/>
  <c r="G101" i="3"/>
  <c r="F83" i="3"/>
  <c r="G91" i="3"/>
  <c r="F99" i="3"/>
  <c r="F80" i="3"/>
  <c r="G68" i="3"/>
  <c r="F77" i="3"/>
  <c r="F68" i="3"/>
  <c r="E87" i="3"/>
  <c r="E90" i="3"/>
  <c r="E68" i="3"/>
  <c r="F105" i="3"/>
  <c r="F74" i="3"/>
  <c r="F70" i="3"/>
  <c r="E103" i="3"/>
  <c r="E96" i="3"/>
  <c r="G69" i="3"/>
  <c r="E76" i="3"/>
  <c r="G98" i="3"/>
  <c r="F85" i="3"/>
  <c r="G102" i="3"/>
  <c r="E60" i="3"/>
  <c r="E72" i="3"/>
  <c r="E78" i="3"/>
  <c r="G105" i="3"/>
  <c r="F100" i="3"/>
  <c r="G94" i="3"/>
  <c r="E84" i="3"/>
  <c r="E100" i="3"/>
  <c r="F104" i="3"/>
  <c r="G79" i="3"/>
  <c r="F93" i="3"/>
  <c r="F96" i="3"/>
  <c r="F98" i="3"/>
  <c r="F87" i="3"/>
  <c r="E105" i="3"/>
  <c r="G88" i="3"/>
  <c r="F84" i="3"/>
  <c r="E81" i="3"/>
  <c r="E69" i="3"/>
  <c r="G86" i="3"/>
  <c r="E75" i="3"/>
  <c r="E67" i="3"/>
  <c r="E85" i="3"/>
  <c r="E77" i="3"/>
  <c r="E106" i="3"/>
  <c r="E7" i="3" l="1"/>
  <c r="I28" i="1" s="1"/>
  <c r="E6" i="4"/>
  <c r="E62" i="3"/>
  <c r="J26" i="1" s="1"/>
  <c r="I38" i="1" l="1"/>
  <c r="F11" i="5"/>
  <c r="F10" i="5"/>
  <c r="I22" i="1"/>
  <c r="J27" i="1"/>
  <c r="I15" i="1"/>
  <c r="I26" i="1"/>
  <c r="K26" i="1" s="1"/>
  <c r="I24" i="1"/>
  <c r="I19" i="1"/>
  <c r="I13" i="1"/>
  <c r="I39" i="1"/>
  <c r="I44" i="1"/>
  <c r="I48" i="1"/>
  <c r="I20" i="1"/>
  <c r="I21" i="1"/>
  <c r="I17" i="1"/>
  <c r="I16" i="1"/>
  <c r="I18" i="1"/>
  <c r="I36" i="1"/>
  <c r="I25" i="1"/>
  <c r="I14" i="1"/>
  <c r="I23" i="1"/>
  <c r="I27" i="1"/>
  <c r="J20" i="1"/>
  <c r="I43" i="1"/>
  <c r="I33" i="1"/>
  <c r="I34" i="1"/>
  <c r="I37" i="1"/>
  <c r="I42" i="1"/>
  <c r="I45" i="1"/>
  <c r="F7" i="5"/>
  <c r="I46" i="1"/>
  <c r="I40" i="1"/>
  <c r="F15" i="5"/>
  <c r="I35" i="1"/>
  <c r="F9" i="5"/>
  <c r="I41" i="1"/>
  <c r="I47" i="1"/>
  <c r="J21" i="1"/>
  <c r="J18" i="1"/>
  <c r="J14" i="1"/>
  <c r="J19" i="1"/>
  <c r="J17" i="1"/>
  <c r="J24" i="1"/>
  <c r="J28" i="1"/>
  <c r="K28" i="1" s="1"/>
  <c r="J25" i="1"/>
  <c r="J13" i="1"/>
  <c r="J22" i="1"/>
  <c r="J16" i="1"/>
  <c r="J23" i="1"/>
  <c r="J15" i="1"/>
  <c r="K15" i="1" l="1"/>
  <c r="K20" i="1"/>
  <c r="K16" i="1"/>
  <c r="K13" i="1"/>
  <c r="K22" i="1"/>
  <c r="K14" i="1"/>
  <c r="K23" i="1"/>
  <c r="K19" i="1"/>
  <c r="K25" i="1"/>
  <c r="K24" i="1"/>
  <c r="K21" i="1"/>
  <c r="K27" i="1"/>
  <c r="K18" i="1"/>
  <c r="K17" i="1"/>
</calcChain>
</file>

<file path=xl/sharedStrings.xml><?xml version="1.0" encoding="utf-8"?>
<sst xmlns="http://schemas.openxmlformats.org/spreadsheetml/2006/main" count="138" uniqueCount="83">
  <si>
    <t>Monthly Indexes</t>
  </si>
  <si>
    <t>Date</t>
  </si>
  <si>
    <t>Bituminous</t>
  </si>
  <si>
    <t>Diesel</t>
  </si>
  <si>
    <t>Unleaded</t>
  </si>
  <si>
    <t>WORKSHEET FOR DETERMINING FUEL AND ASPHALT BINDER INDEX ADJUSTMENTS</t>
  </si>
  <si>
    <r>
      <t xml:space="preserve">HOW TO USE:  </t>
    </r>
    <r>
      <rPr>
        <sz val="12"/>
        <rFont val="Arial"/>
        <family val="2"/>
      </rPr>
      <t>Select Base Index Date (cell B8) and Current Index Date (cell H8).</t>
    </r>
  </si>
  <si>
    <t>Spreadsheet uses stored index data to calculate and present index adjustments for eligible items of work.</t>
  </si>
  <si>
    <t>Adjustments to be applied in accordance with contract provisions.</t>
  </si>
  <si>
    <t>Select Base Indexes</t>
  </si>
  <si>
    <t>Select Current Indexes</t>
  </si>
  <si>
    <t>Asphalt Binder</t>
  </si>
  <si>
    <t xml:space="preserve">                                                                               </t>
  </si>
  <si>
    <t>Items of Work Eligible for Fuel Adjustments *</t>
  </si>
  <si>
    <t xml:space="preserve">Unit </t>
  </si>
  <si>
    <t>Gallons Per Unit</t>
  </si>
  <si>
    <t>Monetary Adjustment per Unit</t>
  </si>
  <si>
    <t>Combined</t>
  </si>
  <si>
    <t>Excavation (Unclassified, Borrow, etc.)</t>
  </si>
  <si>
    <t>CY</t>
  </si>
  <si>
    <t>Embankment in Place</t>
  </si>
  <si>
    <t>SY</t>
  </si>
  <si>
    <t>Graded Aggregate Base Course 6" Uniform</t>
  </si>
  <si>
    <t>Graded Aggregate Base Course 8" Uniform</t>
  </si>
  <si>
    <t>Hot Mix Asphalt (Base, Binder, Surface Courses)</t>
  </si>
  <si>
    <t>TON</t>
  </si>
  <si>
    <t>Portland Cement Concrete Pavements</t>
  </si>
  <si>
    <t>Structural Concrete</t>
  </si>
  <si>
    <t>Reinforced Concrete Pipe (24" or less)</t>
  </si>
  <si>
    <t>LF</t>
  </si>
  <si>
    <t>Reinforced Concrete Pipe (greater than 24")</t>
  </si>
  <si>
    <t>* Eligible for index adjustment when specified in contract.</t>
  </si>
  <si>
    <t>Items of Work Eligible for A.C. Binder Adjustments *</t>
  </si>
  <si>
    <t>AC Binder Tons 
per Unit</t>
  </si>
  <si>
    <t>Monetary Adjustment 
per Unit (for AC Binder)</t>
  </si>
  <si>
    <t>Liquid Asphalt Binder (PG64-22)</t>
  </si>
  <si>
    <t>Liquid Asphalt Binder (PG76-22)</t>
  </si>
  <si>
    <t>Base Index Chart and Index Change for Diesel Fuel</t>
  </si>
  <si>
    <t>Base Index Value</t>
  </si>
  <si>
    <t>Current Index Value</t>
  </si>
  <si>
    <t>Index Change Value</t>
  </si>
  <si>
    <t>DECREASE</t>
  </si>
  <si>
    <t>INCREASE</t>
  </si>
  <si>
    <t>Base Index Chart and Index Change for Unleaded Fuel</t>
  </si>
  <si>
    <t>Base Index Chart and Index Change for Asphalt Cement Binder</t>
  </si>
  <si>
    <t>Adjustments per Square Yard of Bituminous Surfacing</t>
  </si>
  <si>
    <t>Asphalt Binder Base Index</t>
  </si>
  <si>
    <t>Asphalt Binder Current Index</t>
  </si>
  <si>
    <t>Bituminous Surfacing Type</t>
  </si>
  <si>
    <t>Unit</t>
  </si>
  <si>
    <t>Minimum Gallons of Liquid per SY</t>
  </si>
  <si>
    <t>Tons of A.C. Binder per SY</t>
  </si>
  <si>
    <t>Adjustment per Square Yard</t>
  </si>
  <si>
    <t>Single Treatment</t>
  </si>
  <si>
    <t>Double Treatment</t>
  </si>
  <si>
    <t>Asphalt Surface Treatment</t>
  </si>
  <si>
    <t>Emulsion for High Performance Chip Seal (Macrosurfacing)</t>
  </si>
  <si>
    <t>Gal</t>
  </si>
  <si>
    <t xml:space="preserve">   Triple Treatment</t>
  </si>
  <si>
    <t>Graded Aggregate Base Course 10" Uniform</t>
  </si>
  <si>
    <t>Borrow Excavation - Lightweight</t>
  </si>
  <si>
    <t>Type A</t>
  </si>
  <si>
    <t>Type B</t>
  </si>
  <si>
    <t>Type C</t>
  </si>
  <si>
    <t>Full Depth Asphalt Pavement Patching - 4" (Fuel)</t>
  </si>
  <si>
    <t>Full Depth Asphalt Pavement Patching - 6" (Fuel)</t>
  </si>
  <si>
    <t>Full Depth Asphalt Pavement Patching - 8" (Fuel)</t>
  </si>
  <si>
    <t>Full Depth Asphalt Pavement Patching - 10" (Fuel)</t>
  </si>
  <si>
    <t>Full Depth Asphalt Pavement Patching - 12" (Fuel)</t>
  </si>
  <si>
    <t>Full Depth Asphalt Pavement Patching - 4" (AC Binder)</t>
  </si>
  <si>
    <t>Full Depth Asphalt Pavement Patching - 6" (AC Binder)</t>
  </si>
  <si>
    <t>Full Depth Asphalt Pavement Patching - 8" (AC Binder)</t>
  </si>
  <si>
    <t>Full Depth Asphalt Pavement Patching - 10" (AC Binder)</t>
  </si>
  <si>
    <t>Full Depth Asphalt Pavement Patching - 12" (AC Binder)</t>
  </si>
  <si>
    <t>Microsurfacing Surface Course</t>
  </si>
  <si>
    <t>Microsurfacing Leveling/Rut Fill</t>
  </si>
  <si>
    <t>Preventative Maintenance Thin Lift Seal Course (80 psy @ 6.5% AC)</t>
  </si>
  <si>
    <t>Asph Surf Trmt - Double Treatment - Type A (0.55 gals/sy emulsion)</t>
  </si>
  <si>
    <t>Asph Surf Trmt - Double Treatment - Type B (0.46 gals/sy emulsion)</t>
  </si>
  <si>
    <t>Asph Surf Trmt - Double Treatment - Type C (0.48 gals/sy emulsion)</t>
  </si>
  <si>
    <t>Asph Surf Trmt - Single Treatment (0.28 gals/sy emulsion)</t>
  </si>
  <si>
    <t xml:space="preserve"> </t>
  </si>
  <si>
    <t>Asph Surf Trmt - Triple Treatment (0.71 gal/sy emulsion)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</si>
</sst>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00"/>
    <numFmt numFmtId="166" formatCode="#,##0.0000_);\(#,##0.0000\)"/>
    <numFmt numFmtId="167" formatCode="&quot;$&quot;#,##0.00"/>
    <numFmt numFmtId="168" formatCode="&quot;$&quot;#,##0.00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theme="0" tint="-4.9989318521683403E-2"/>
      </right>
      <top style="thick">
        <color indexed="64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indexed="64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indexed="64"/>
      </right>
      <top style="thick">
        <color indexed="64"/>
      </top>
      <bottom style="thick">
        <color theme="0" tint="-4.9989318521683403E-2"/>
      </bottom>
      <diagonal/>
    </border>
    <border>
      <left style="thick">
        <color indexed="64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indexed="64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indexed="64"/>
      </left>
      <right style="thick">
        <color theme="0" tint="-4.9989318521683403E-2"/>
      </right>
      <top style="thick">
        <color theme="0" tint="-4.9989318521683403E-2"/>
      </top>
      <bottom style="thick">
        <color indexed="64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indexed="64"/>
      </bottom>
      <diagonal/>
    </border>
    <border>
      <left style="thick">
        <color theme="0" tint="-4.9989318521683403E-2"/>
      </left>
      <right style="thick">
        <color indexed="64"/>
      </right>
      <top style="thick">
        <color theme="0" tint="-4.9989318521683403E-2"/>
      </top>
      <bottom style="thick">
        <color indexed="64"/>
      </bottom>
      <diagonal/>
    </border>
  </borders>
  <cellStyleXfs count="106">
    <xf numFmtId="0" fontId="0" fillId="0" borderId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3" fillId="0" borderId="0"/>
    <xf numFmtId="0" fontId="39" fillId="0" borderId="0"/>
    <xf numFmtId="43" fontId="24" fillId="0" borderId="0" applyFont="0" applyFill="0" applyBorder="0" applyAlignment="0" applyProtection="0"/>
    <xf numFmtId="0" fontId="22" fillId="0" borderId="0"/>
    <xf numFmtId="0" fontId="21" fillId="0" borderId="0"/>
    <xf numFmtId="0" fontId="24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44" fontId="7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91">
    <xf numFmtId="0" fontId="0" fillId="0" borderId="0" xfId="0"/>
    <xf numFmtId="0" fontId="0" fillId="2" borderId="0" xfId="0" applyFill="1"/>
    <xf numFmtId="0" fontId="0" fillId="2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15" fontId="0" fillId="3" borderId="0" xfId="0" applyNumberFormat="1" applyFill="1" applyProtection="1">
      <protection hidden="1"/>
    </xf>
    <xf numFmtId="164" fontId="24" fillId="3" borderId="0" xfId="2" applyNumberFormat="1" applyFill="1" applyProtection="1">
      <protection hidden="1"/>
    </xf>
    <xf numFmtId="15" fontId="0" fillId="4" borderId="9" xfId="0" applyNumberFormat="1" applyFill="1" applyBorder="1" applyAlignment="1" applyProtection="1">
      <alignment horizontal="center"/>
      <protection locked="0"/>
    </xf>
    <xf numFmtId="15" fontId="0" fillId="0" borderId="9" xfId="0" applyNumberFormat="1" applyBorder="1" applyAlignment="1" applyProtection="1">
      <alignment horizontal="center"/>
      <protection locked="0"/>
    </xf>
    <xf numFmtId="0" fontId="0" fillId="3" borderId="0" xfId="0" applyFill="1"/>
    <xf numFmtId="0" fontId="0" fillId="3" borderId="0" xfId="0" applyFill="1" applyProtection="1">
      <protection hidden="1"/>
    </xf>
    <xf numFmtId="0" fontId="0" fillId="2" borderId="17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18" xfId="0" applyFill="1" applyBorder="1" applyProtection="1">
      <protection hidden="1"/>
    </xf>
    <xf numFmtId="168" fontId="24" fillId="3" borderId="9" xfId="2" applyNumberFormat="1" applyFill="1" applyBorder="1" applyProtection="1">
      <protection hidden="1"/>
    </xf>
    <xf numFmtId="168" fontId="24" fillId="3" borderId="19" xfId="2" applyNumberFormat="1" applyFill="1" applyBorder="1" applyProtection="1">
      <protection hidden="1"/>
    </xf>
    <xf numFmtId="168" fontId="24" fillId="5" borderId="9" xfId="2" applyNumberFormat="1" applyFill="1" applyBorder="1" applyProtection="1">
      <protection hidden="1"/>
    </xf>
    <xf numFmtId="0" fontId="0" fillId="2" borderId="20" xfId="0" applyFill="1" applyBorder="1" applyProtection="1">
      <protection hidden="1"/>
    </xf>
    <xf numFmtId="168" fontId="24" fillId="2" borderId="20" xfId="2" applyNumberFormat="1" applyFill="1" applyBorder="1" applyProtection="1">
      <protection hidden="1"/>
    </xf>
    <xf numFmtId="168" fontId="24" fillId="2" borderId="21" xfId="2" applyNumberFormat="1" applyFill="1" applyBorder="1" applyProtection="1">
      <protection hidden="1"/>
    </xf>
    <xf numFmtId="0" fontId="0" fillId="2" borderId="22" xfId="0" applyFill="1" applyBorder="1" applyProtection="1">
      <protection hidden="1"/>
    </xf>
    <xf numFmtId="168" fontId="24" fillId="2" borderId="22" xfId="2" applyNumberFormat="1" applyFill="1" applyBorder="1" applyProtection="1">
      <protection hidden="1"/>
    </xf>
    <xf numFmtId="168" fontId="24" fillId="2" borderId="23" xfId="2" applyNumberFormat="1" applyFill="1" applyBorder="1" applyProtection="1">
      <protection hidden="1"/>
    </xf>
    <xf numFmtId="0" fontId="0" fillId="2" borderId="24" xfId="0" applyFill="1" applyBorder="1" applyProtection="1">
      <protection hidden="1"/>
    </xf>
    <xf numFmtId="168" fontId="24" fillId="2" borderId="24" xfId="2" applyNumberFormat="1" applyFill="1" applyBorder="1" applyProtection="1">
      <protection hidden="1"/>
    </xf>
    <xf numFmtId="168" fontId="24" fillId="2" borderId="25" xfId="2" applyNumberFormat="1" applyFill="1" applyBorder="1" applyProtection="1">
      <protection hidden="1"/>
    </xf>
    <xf numFmtId="0" fontId="0" fillId="3" borderId="0" xfId="0" applyFill="1" applyBorder="1" applyAlignment="1" applyProtection="1">
      <alignment horizontal="center" vertical="center" textRotation="255"/>
      <protection hidden="1"/>
    </xf>
    <xf numFmtId="0" fontId="0" fillId="3" borderId="0" xfId="0" applyFill="1" applyBorder="1" applyProtection="1">
      <protection hidden="1"/>
    </xf>
    <xf numFmtId="168" fontId="24" fillId="3" borderId="0" xfId="2" applyNumberFormat="1" applyFill="1" applyBorder="1" applyProtection="1">
      <protection hidden="1"/>
    </xf>
    <xf numFmtId="167" fontId="24" fillId="3" borderId="9" xfId="2" applyNumberFormat="1" applyFill="1" applyBorder="1" applyProtection="1">
      <protection hidden="1"/>
    </xf>
    <xf numFmtId="167" fontId="24" fillId="5" borderId="9" xfId="2" applyNumberFormat="1" applyFill="1" applyBorder="1" applyProtection="1">
      <protection hidden="1"/>
    </xf>
    <xf numFmtId="167" fontId="24" fillId="2" borderId="22" xfId="2" applyNumberFormat="1" applyFill="1" applyBorder="1" applyProtection="1">
      <protection hidden="1"/>
    </xf>
    <xf numFmtId="0" fontId="0" fillId="2" borderId="0" xfId="0" applyFill="1" applyAlignment="1">
      <alignment horizontal="right"/>
    </xf>
    <xf numFmtId="44" fontId="0" fillId="0" borderId="9" xfId="2" applyFont="1" applyFill="1" applyBorder="1"/>
    <xf numFmtId="0" fontId="32" fillId="2" borderId="9" xfId="0" applyFont="1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 wrapText="1"/>
    </xf>
    <xf numFmtId="44" fontId="0" fillId="2" borderId="9" xfId="2" applyFont="1" applyFill="1" applyBorder="1"/>
    <xf numFmtId="168" fontId="24" fillId="2" borderId="20" xfId="2" applyNumberFormat="1" applyFont="1" applyFill="1" applyBorder="1" applyProtection="1">
      <protection hidden="1"/>
    </xf>
    <xf numFmtId="168" fontId="24" fillId="2" borderId="26" xfId="2" applyNumberFormat="1" applyFont="1" applyFill="1" applyBorder="1" applyProtection="1">
      <protection hidden="1"/>
    </xf>
    <xf numFmtId="168" fontId="24" fillId="2" borderId="22" xfId="2" applyNumberFormat="1" applyFont="1" applyFill="1" applyBorder="1" applyProtection="1">
      <protection hidden="1"/>
    </xf>
    <xf numFmtId="0" fontId="0" fillId="2" borderId="27" xfId="0" applyFill="1" applyBorder="1" applyProtection="1">
      <protection hidden="1"/>
    </xf>
    <xf numFmtId="168" fontId="24" fillId="2" borderId="28" xfId="2" applyNumberFormat="1" applyFont="1" applyFill="1" applyBorder="1" applyProtection="1">
      <protection hidden="1"/>
    </xf>
    <xf numFmtId="168" fontId="24" fillId="2" borderId="27" xfId="2" applyNumberFormat="1" applyFill="1" applyBorder="1" applyProtection="1">
      <protection hidden="1"/>
    </xf>
    <xf numFmtId="168" fontId="24" fillId="2" borderId="29" xfId="2" applyNumberFormat="1" applyFill="1" applyBorder="1" applyProtection="1">
      <protection hidden="1"/>
    </xf>
    <xf numFmtId="0" fontId="0" fillId="2" borderId="30" xfId="0" applyFill="1" applyBorder="1" applyProtection="1">
      <protection hidden="1"/>
    </xf>
    <xf numFmtId="168" fontId="24" fillId="2" borderId="30" xfId="2" applyNumberFormat="1" applyFont="1" applyFill="1" applyBorder="1" applyProtection="1">
      <protection hidden="1"/>
    </xf>
    <xf numFmtId="168" fontId="24" fillId="2" borderId="30" xfId="2" applyNumberFormat="1" applyFill="1" applyBorder="1" applyProtection="1">
      <protection hidden="1"/>
    </xf>
    <xf numFmtId="168" fontId="24" fillId="2" borderId="31" xfId="2" applyNumberFormat="1" applyFill="1" applyBorder="1" applyProtection="1">
      <protection hidden="1"/>
    </xf>
    <xf numFmtId="0" fontId="0" fillId="2" borderId="32" xfId="0" applyFill="1" applyBorder="1" applyProtection="1">
      <protection hidden="1"/>
    </xf>
    <xf numFmtId="0" fontId="0" fillId="2" borderId="33" xfId="0" applyFill="1" applyBorder="1" applyProtection="1">
      <protection hidden="1"/>
    </xf>
    <xf numFmtId="0" fontId="0" fillId="2" borderId="34" xfId="0" applyFill="1" applyBorder="1" applyProtection="1">
      <protection hidden="1"/>
    </xf>
    <xf numFmtId="0" fontId="0" fillId="2" borderId="35" xfId="0" applyFill="1" applyBorder="1" applyProtection="1">
      <protection hidden="1"/>
    </xf>
    <xf numFmtId="0" fontId="0" fillId="2" borderId="36" xfId="0" applyFill="1" applyBorder="1" applyProtection="1">
      <protection hidden="1"/>
    </xf>
    <xf numFmtId="168" fontId="24" fillId="2" borderId="24" xfId="2" applyNumberFormat="1" applyFont="1" applyFill="1" applyBorder="1" applyProtection="1">
      <protection hidden="1"/>
    </xf>
    <xf numFmtId="0" fontId="0" fillId="2" borderId="26" xfId="0" applyFill="1" applyBorder="1" applyProtection="1">
      <protection hidden="1"/>
    </xf>
    <xf numFmtId="0" fontId="0" fillId="2" borderId="37" xfId="0" applyFill="1" applyBorder="1" applyProtection="1">
      <protection hidden="1"/>
    </xf>
    <xf numFmtId="0" fontId="0" fillId="2" borderId="38" xfId="0" applyFill="1" applyBorder="1" applyProtection="1">
      <protection hidden="1"/>
    </xf>
    <xf numFmtId="0" fontId="0" fillId="2" borderId="39" xfId="0" applyFill="1" applyBorder="1" applyProtection="1">
      <protection hidden="1"/>
    </xf>
    <xf numFmtId="167" fontId="24" fillId="2" borderId="37" xfId="2" applyNumberFormat="1" applyFill="1" applyBorder="1" applyProtection="1">
      <protection hidden="1"/>
    </xf>
    <xf numFmtId="8" fontId="24" fillId="3" borderId="0" xfId="2" applyNumberFormat="1" applyFill="1" applyProtection="1">
      <protection hidden="1"/>
    </xf>
    <xf numFmtId="0" fontId="24" fillId="2" borderId="0" xfId="0" applyFont="1" applyFill="1" applyProtection="1">
      <protection hidden="1"/>
    </xf>
    <xf numFmtId="0" fontId="0" fillId="2" borderId="40" xfId="0" applyFill="1" applyBorder="1" applyProtection="1">
      <protection hidden="1"/>
    </xf>
    <xf numFmtId="167" fontId="24" fillId="2" borderId="30" xfId="2" applyNumberFormat="1" applyFill="1" applyBorder="1" applyProtection="1">
      <protection hidden="1"/>
    </xf>
    <xf numFmtId="0" fontId="0" fillId="2" borderId="41" xfId="0" applyFill="1" applyBorder="1" applyProtection="1">
      <protection hidden="1"/>
    </xf>
    <xf numFmtId="167" fontId="24" fillId="2" borderId="42" xfId="2" applyNumberFormat="1" applyFill="1" applyBorder="1" applyProtection="1">
      <protection hidden="1"/>
    </xf>
    <xf numFmtId="167" fontId="24" fillId="2" borderId="43" xfId="2" applyNumberFormat="1" applyFont="1" applyFill="1" applyBorder="1" applyProtection="1">
      <protection hidden="1"/>
    </xf>
    <xf numFmtId="167" fontId="24" fillId="2" borderId="43" xfId="2" applyNumberFormat="1" applyFill="1" applyBorder="1" applyProtection="1">
      <protection hidden="1"/>
    </xf>
    <xf numFmtId="167" fontId="24" fillId="2" borderId="44" xfId="2" applyNumberFormat="1" applyFill="1" applyBorder="1" applyProtection="1">
      <protection hidden="1"/>
    </xf>
    <xf numFmtId="167" fontId="24" fillId="2" borderId="45" xfId="2" applyNumberFormat="1" applyFill="1" applyBorder="1" applyProtection="1">
      <protection hidden="1"/>
    </xf>
    <xf numFmtId="0" fontId="0" fillId="2" borderId="46" xfId="0" applyFill="1" applyBorder="1" applyProtection="1">
      <protection hidden="1"/>
    </xf>
    <xf numFmtId="164" fontId="24" fillId="0" borderId="0" xfId="2" applyNumberFormat="1" applyFill="1" applyProtection="1">
      <protection hidden="1"/>
    </xf>
    <xf numFmtId="0" fontId="33" fillId="2" borderId="47" xfId="0" applyFont="1" applyFill="1" applyBorder="1" applyAlignment="1">
      <alignment horizontal="left"/>
    </xf>
    <xf numFmtId="0" fontId="0" fillId="2" borderId="47" xfId="0" applyFill="1" applyBorder="1"/>
    <xf numFmtId="44" fontId="0" fillId="2" borderId="47" xfId="2" applyFont="1" applyFill="1" applyBorder="1"/>
    <xf numFmtId="0" fontId="0" fillId="2" borderId="9" xfId="0" applyFill="1" applyBorder="1" applyAlignment="1">
      <alignment horizontal="left" indent="1"/>
    </xf>
    <xf numFmtId="0" fontId="0" fillId="2" borderId="9" xfId="0" applyFill="1" applyBorder="1" applyAlignment="1">
      <alignment horizontal="center"/>
    </xf>
    <xf numFmtId="0" fontId="34" fillId="2" borderId="5" xfId="0" applyFont="1" applyFill="1" applyBorder="1" applyAlignment="1">
      <alignment horizontal="left"/>
    </xf>
    <xf numFmtId="0" fontId="0" fillId="2" borderId="6" xfId="0" applyFill="1" applyBorder="1"/>
    <xf numFmtId="44" fontId="0" fillId="2" borderId="7" xfId="2" applyFont="1" applyFill="1" applyBorder="1"/>
    <xf numFmtId="0" fontId="0" fillId="6" borderId="0" xfId="0" applyFill="1"/>
    <xf numFmtId="0" fontId="0" fillId="6" borderId="0" xfId="0" applyFill="1" applyBorder="1"/>
    <xf numFmtId="0" fontId="0" fillId="7" borderId="68" xfId="0" applyFill="1" applyBorder="1"/>
    <xf numFmtId="0" fontId="26" fillId="7" borderId="69" xfId="0" applyFont="1" applyFill="1" applyBorder="1"/>
    <xf numFmtId="0" fontId="0" fillId="7" borderId="69" xfId="0" applyFill="1" applyBorder="1"/>
    <xf numFmtId="0" fontId="0" fillId="7" borderId="70" xfId="0" applyFill="1" applyBorder="1"/>
    <xf numFmtId="0" fontId="0" fillId="7" borderId="71" xfId="0" applyFill="1" applyBorder="1"/>
    <xf numFmtId="0" fontId="27" fillId="7" borderId="72" xfId="0" applyFont="1" applyFill="1" applyBorder="1" applyAlignment="1">
      <alignment horizontal="left" indent="2"/>
    </xf>
    <xf numFmtId="0" fontId="0" fillId="7" borderId="72" xfId="0" applyFill="1" applyBorder="1"/>
    <xf numFmtId="0" fontId="0" fillId="7" borderId="73" xfId="0" applyFill="1" applyBorder="1"/>
    <xf numFmtId="0" fontId="28" fillId="7" borderId="72" xfId="0" applyFont="1" applyFill="1" applyBorder="1" applyAlignment="1">
      <alignment horizontal="left" indent="2"/>
    </xf>
    <xf numFmtId="0" fontId="0" fillId="7" borderId="74" xfId="0" applyFill="1" applyBorder="1"/>
    <xf numFmtId="0" fontId="28" fillId="7" borderId="75" xfId="0" applyFont="1" applyFill="1" applyBorder="1" applyAlignment="1">
      <alignment horizontal="left" indent="2"/>
    </xf>
    <xf numFmtId="0" fontId="0" fillId="7" borderId="75" xfId="0" applyFill="1" applyBorder="1"/>
    <xf numFmtId="0" fontId="0" fillId="7" borderId="76" xfId="0" applyFill="1" applyBorder="1"/>
    <xf numFmtId="0" fontId="0" fillId="7" borderId="1" xfId="0" applyFill="1" applyBorder="1"/>
    <xf numFmtId="0" fontId="0" fillId="7" borderId="4" xfId="0" applyFill="1" applyBorder="1"/>
    <xf numFmtId="0" fontId="0" fillId="7" borderId="10" xfId="0" applyFill="1" applyBorder="1"/>
    <xf numFmtId="0" fontId="0" fillId="7" borderId="2" xfId="0" applyFill="1" applyBorder="1"/>
    <xf numFmtId="0" fontId="0" fillId="7" borderId="0" xfId="0" applyFill="1" applyBorder="1"/>
    <xf numFmtId="0" fontId="0" fillId="7" borderId="0" xfId="0" applyFill="1" applyBorder="1" applyAlignment="1"/>
    <xf numFmtId="0" fontId="0" fillId="7" borderId="11" xfId="0" applyFill="1" applyBorder="1"/>
    <xf numFmtId="0" fontId="0" fillId="7" borderId="3" xfId="0" applyFill="1" applyBorder="1"/>
    <xf numFmtId="0" fontId="0" fillId="7" borderId="8" xfId="0" applyFill="1" applyBorder="1"/>
    <xf numFmtId="0" fontId="0" fillId="7" borderId="12" xfId="0" applyFill="1" applyBorder="1"/>
    <xf numFmtId="165" fontId="0" fillId="7" borderId="11" xfId="0" applyNumberFormat="1" applyFill="1" applyBorder="1"/>
    <xf numFmtId="0" fontId="36" fillId="8" borderId="9" xfId="0" applyFont="1" applyFill="1" applyBorder="1" applyAlignment="1">
      <alignment horizontal="center" wrapText="1"/>
    </xf>
    <xf numFmtId="0" fontId="36" fillId="8" borderId="9" xfId="0" applyFont="1" applyFill="1" applyBorder="1" applyAlignment="1">
      <alignment horizontal="center"/>
    </xf>
    <xf numFmtId="44" fontId="0" fillId="6" borderId="7" xfId="2" applyFont="1" applyFill="1" applyBorder="1" applyAlignment="1">
      <alignment horizontal="center"/>
    </xf>
    <xf numFmtId="164" fontId="0" fillId="6" borderId="7" xfId="2" applyNumberFormat="1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39" fontId="0" fillId="6" borderId="9" xfId="1" applyNumberFormat="1" applyFont="1" applyFill="1" applyBorder="1" applyAlignment="1">
      <alignment horizontal="center"/>
    </xf>
    <xf numFmtId="44" fontId="0" fillId="6" borderId="9" xfId="2" applyFont="1" applyFill="1" applyBorder="1" applyAlignment="1">
      <alignment horizontal="center"/>
    </xf>
    <xf numFmtId="0" fontId="0" fillId="6" borderId="47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7" xfId="0" applyFill="1" applyBorder="1" applyAlignment="1">
      <alignment horizontal="center"/>
    </xf>
    <xf numFmtId="0" fontId="0" fillId="6" borderId="9" xfId="0" applyFill="1" applyBorder="1" applyAlignment="1">
      <alignment horizontal="left"/>
    </xf>
    <xf numFmtId="0" fontId="37" fillId="8" borderId="9" xfId="0" applyFont="1" applyFill="1" applyBorder="1" applyAlignment="1">
      <alignment horizontal="center" wrapText="1"/>
    </xf>
    <xf numFmtId="0" fontId="37" fillId="8" borderId="9" xfId="0" applyFont="1" applyFill="1" applyBorder="1" applyAlignment="1">
      <alignment horizontal="center"/>
    </xf>
    <xf numFmtId="0" fontId="31" fillId="7" borderId="13" xfId="0" applyFont="1" applyFill="1" applyBorder="1" applyAlignment="1">
      <alignment horizontal="left" vertical="top"/>
    </xf>
    <xf numFmtId="0" fontId="0" fillId="7" borderId="14" xfId="0" applyFill="1" applyBorder="1"/>
    <xf numFmtId="0" fontId="0" fillId="7" borderId="15" xfId="0" applyFill="1" applyBorder="1"/>
    <xf numFmtId="0" fontId="31" fillId="7" borderId="0" xfId="0" applyFont="1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0" fillId="7" borderId="0" xfId="0" applyFill="1" applyBorder="1" applyAlignment="1">
      <alignment horizontal="center"/>
    </xf>
    <xf numFmtId="166" fontId="0" fillId="7" borderId="0" xfId="1" applyNumberFormat="1" applyFont="1" applyFill="1" applyBorder="1" applyAlignment="1">
      <alignment horizontal="center"/>
    </xf>
    <xf numFmtId="167" fontId="0" fillId="7" borderId="0" xfId="2" applyNumberFormat="1" applyFont="1" applyFill="1" applyBorder="1" applyAlignment="1">
      <alignment horizontal="center"/>
    </xf>
    <xf numFmtId="0" fontId="0" fillId="7" borderId="0" xfId="0" applyFill="1" applyAlignment="1"/>
    <xf numFmtId="0" fontId="0" fillId="7" borderId="0" xfId="0" applyFill="1"/>
    <xf numFmtId="0" fontId="38" fillId="7" borderId="16" xfId="0" applyFont="1" applyFill="1" applyBorder="1" applyAlignment="1">
      <alignment horizontal="center"/>
    </xf>
    <xf numFmtId="0" fontId="29" fillId="7" borderId="0" xfId="0" applyFont="1" applyFill="1"/>
    <xf numFmtId="0" fontId="29" fillId="7" borderId="8" xfId="0" applyFont="1" applyFill="1" applyBorder="1"/>
    <xf numFmtId="0" fontId="29" fillId="7" borderId="0" xfId="0" applyFont="1" applyFill="1" applyAlignment="1"/>
    <xf numFmtId="0" fontId="34" fillId="6" borderId="9" xfId="0" applyFont="1" applyFill="1" applyBorder="1" applyAlignment="1">
      <alignment horizontal="center"/>
    </xf>
    <xf numFmtId="0" fontId="0" fillId="0" borderId="0" xfId="0"/>
    <xf numFmtId="0" fontId="24" fillId="6" borderId="5" xfId="0" applyFont="1" applyFill="1" applyBorder="1" applyAlignment="1">
      <alignment horizontal="left"/>
    </xf>
    <xf numFmtId="0" fontId="24" fillId="6" borderId="47" xfId="0" applyFont="1" applyFill="1" applyBorder="1" applyAlignment="1">
      <alignment horizontal="left"/>
    </xf>
    <xf numFmtId="0" fontId="35" fillId="8" borderId="5" xfId="0" applyFont="1" applyFill="1" applyBorder="1" applyAlignment="1">
      <alignment horizontal="left" indent="1"/>
    </xf>
    <xf numFmtId="0" fontId="35" fillId="8" borderId="6" xfId="0" applyFont="1" applyFill="1" applyBorder="1" applyAlignment="1">
      <alignment horizontal="left" indent="1"/>
    </xf>
    <xf numFmtId="0" fontId="35" fillId="8" borderId="7" xfId="0" applyFont="1" applyFill="1" applyBorder="1" applyAlignment="1">
      <alignment horizontal="left" indent="1"/>
    </xf>
    <xf numFmtId="0" fontId="30" fillId="7" borderId="0" xfId="0" applyFont="1" applyFill="1" applyBorder="1" applyAlignment="1">
      <alignment horizontal="center" wrapText="1"/>
    </xf>
    <xf numFmtId="0" fontId="37" fillId="8" borderId="9" xfId="0" applyFont="1" applyFill="1" applyBorder="1" applyAlignment="1">
      <alignment horizontal="center"/>
    </xf>
    <xf numFmtId="0" fontId="0" fillId="6" borderId="9" xfId="0" applyFill="1" applyBorder="1" applyAlignment="1">
      <alignment horizontal="left"/>
    </xf>
    <xf numFmtId="0" fontId="37" fillId="8" borderId="48" xfId="0" applyFont="1" applyFill="1" applyBorder="1" applyAlignment="1">
      <alignment horizontal="center" wrapText="1"/>
    </xf>
    <xf numFmtId="0" fontId="37" fillId="8" borderId="49" xfId="0" applyFont="1" applyFill="1" applyBorder="1" applyAlignment="1">
      <alignment horizontal="center" wrapText="1"/>
    </xf>
    <xf numFmtId="0" fontId="37" fillId="8" borderId="50" xfId="0" applyFont="1" applyFill="1" applyBorder="1" applyAlignment="1">
      <alignment horizontal="center" wrapText="1"/>
    </xf>
    <xf numFmtId="0" fontId="37" fillId="8" borderId="51" xfId="0" applyFont="1" applyFill="1" applyBorder="1" applyAlignment="1">
      <alignment horizontal="center" wrapText="1"/>
    </xf>
    <xf numFmtId="0" fontId="37" fillId="8" borderId="52" xfId="0" applyFont="1" applyFill="1" applyBorder="1" applyAlignment="1">
      <alignment horizontal="center" wrapText="1"/>
    </xf>
    <xf numFmtId="0" fontId="37" fillId="8" borderId="53" xfId="0" applyFont="1" applyFill="1" applyBorder="1" applyAlignment="1">
      <alignment horizontal="center" wrapText="1"/>
    </xf>
    <xf numFmtId="0" fontId="37" fillId="8" borderId="9" xfId="0" applyFont="1" applyFill="1" applyBorder="1" applyAlignment="1">
      <alignment horizontal="center" wrapText="1"/>
    </xf>
    <xf numFmtId="166" fontId="0" fillId="6" borderId="9" xfId="1" applyNumberFormat="1" applyFont="1" applyFill="1" applyBorder="1" applyAlignment="1">
      <alignment horizontal="center"/>
    </xf>
    <xf numFmtId="167" fontId="0" fillId="6" borderId="5" xfId="2" applyNumberFormat="1" applyFont="1" applyFill="1" applyBorder="1" applyAlignment="1">
      <alignment horizontal="center"/>
    </xf>
    <xf numFmtId="167" fontId="0" fillId="6" borderId="7" xfId="2" applyNumberFormat="1" applyFont="1" applyFill="1" applyBorder="1" applyAlignment="1">
      <alignment horizontal="center"/>
    </xf>
    <xf numFmtId="0" fontId="0" fillId="6" borderId="5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166" fontId="0" fillId="6" borderId="5" xfId="1" applyNumberFormat="1" applyFont="1" applyFill="1" applyBorder="1" applyAlignment="1">
      <alignment horizontal="center"/>
    </xf>
    <xf numFmtId="166" fontId="0" fillId="6" borderId="7" xfId="1" applyNumberFormat="1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24" fillId="6" borderId="5" xfId="0" applyFont="1" applyFill="1" applyBorder="1" applyAlignment="1">
      <alignment horizontal="left" wrapText="1"/>
    </xf>
    <xf numFmtId="166" fontId="0" fillId="6" borderId="6" xfId="1" applyNumberFormat="1" applyFont="1" applyFill="1" applyBorder="1" applyAlignment="1">
      <alignment horizontal="center"/>
    </xf>
    <xf numFmtId="166" fontId="24" fillId="6" borderId="5" xfId="1" applyNumberFormat="1" applyFont="1" applyFill="1" applyBorder="1" applyAlignment="1">
      <alignment horizontal="center"/>
    </xf>
    <xf numFmtId="166" fontId="24" fillId="6" borderId="7" xfId="1" applyNumberFormat="1" applyFont="1" applyFill="1" applyBorder="1" applyAlignment="1">
      <alignment horizontal="center"/>
    </xf>
    <xf numFmtId="0" fontId="25" fillId="3" borderId="0" xfId="0" applyFont="1" applyFill="1" applyAlignment="1" applyProtection="1">
      <alignment horizontal="center"/>
      <protection hidden="1"/>
    </xf>
    <xf numFmtId="0" fontId="0" fillId="2" borderId="54" xfId="0" applyFill="1" applyBorder="1" applyAlignment="1" applyProtection="1">
      <alignment horizontal="center" vertical="center" textRotation="255"/>
      <protection hidden="1"/>
    </xf>
    <xf numFmtId="0" fontId="0" fillId="2" borderId="55" xfId="0" applyFill="1" applyBorder="1" applyAlignment="1" applyProtection="1">
      <alignment horizontal="center" vertical="center" textRotation="255"/>
      <protection hidden="1"/>
    </xf>
    <xf numFmtId="0" fontId="0" fillId="2" borderId="56" xfId="0" applyFill="1" applyBorder="1" applyAlignment="1" applyProtection="1">
      <alignment horizontal="center" vertical="center" textRotation="255"/>
      <protection hidden="1"/>
    </xf>
    <xf numFmtId="0" fontId="0" fillId="2" borderId="57" xfId="0" applyFill="1" applyBorder="1" applyAlignment="1" applyProtection="1">
      <alignment horizontal="center" vertical="center" textRotation="255"/>
      <protection hidden="1"/>
    </xf>
    <xf numFmtId="0" fontId="0" fillId="2" borderId="58" xfId="0" applyFill="1" applyBorder="1" applyAlignment="1" applyProtection="1">
      <alignment horizontal="center" vertical="center" textRotation="255"/>
      <protection hidden="1"/>
    </xf>
    <xf numFmtId="0" fontId="0" fillId="2" borderId="59" xfId="0" applyFill="1" applyBorder="1" applyAlignment="1" applyProtection="1">
      <alignment horizontal="center" vertical="center" textRotation="255"/>
      <protection hidden="1"/>
    </xf>
    <xf numFmtId="0" fontId="0" fillId="2" borderId="60" xfId="0" applyFill="1" applyBorder="1" applyAlignment="1" applyProtection="1">
      <alignment horizontal="center" vertical="center" textRotation="255"/>
      <protection hidden="1"/>
    </xf>
    <xf numFmtId="0" fontId="27" fillId="2" borderId="61" xfId="0" applyFont="1" applyFill="1" applyBorder="1" applyAlignment="1" applyProtection="1">
      <alignment horizontal="center"/>
      <protection hidden="1"/>
    </xf>
    <xf numFmtId="0" fontId="27" fillId="2" borderId="62" xfId="0" applyFont="1" applyFill="1" applyBorder="1" applyAlignment="1" applyProtection="1">
      <alignment horizontal="center"/>
      <protection hidden="1"/>
    </xf>
    <xf numFmtId="0" fontId="27" fillId="2" borderId="63" xfId="0" applyFont="1" applyFill="1" applyBorder="1" applyAlignment="1" applyProtection="1">
      <alignment horizontal="center"/>
      <protection hidden="1"/>
    </xf>
    <xf numFmtId="0" fontId="0" fillId="3" borderId="48" xfId="0" applyFill="1" applyBorder="1" applyAlignment="1" applyProtection="1">
      <alignment horizontal="left"/>
      <protection hidden="1"/>
    </xf>
    <xf numFmtId="0" fontId="0" fillId="3" borderId="49" xfId="0" applyFill="1" applyBorder="1" applyAlignment="1" applyProtection="1">
      <alignment horizontal="left"/>
      <protection hidden="1"/>
    </xf>
    <xf numFmtId="0" fontId="0" fillId="3" borderId="51" xfId="0" applyFill="1" applyBorder="1" applyAlignment="1" applyProtection="1">
      <alignment horizontal="left"/>
      <protection hidden="1"/>
    </xf>
    <xf numFmtId="0" fontId="0" fillId="3" borderId="52" xfId="0" applyFill="1" applyBorder="1" applyAlignment="1" applyProtection="1">
      <alignment horizontal="left"/>
      <protection hidden="1"/>
    </xf>
    <xf numFmtId="0" fontId="0" fillId="3" borderId="16" xfId="0" applyFill="1" applyBorder="1" applyAlignment="1" applyProtection="1">
      <alignment horizontal="left"/>
      <protection hidden="1"/>
    </xf>
    <xf numFmtId="0" fontId="0" fillId="3" borderId="0" xfId="0" applyFill="1" applyBorder="1" applyAlignment="1" applyProtection="1">
      <alignment horizontal="left"/>
      <protection hidden="1"/>
    </xf>
    <xf numFmtId="0" fontId="28" fillId="2" borderId="47" xfId="0" applyFont="1" applyFill="1" applyBorder="1" applyAlignment="1" applyProtection="1">
      <alignment horizontal="center" vertical="center" textRotation="255"/>
      <protection hidden="1"/>
    </xf>
    <xf numFmtId="0" fontId="28" fillId="2" borderId="64" xfId="0" applyFont="1" applyFill="1" applyBorder="1" applyAlignment="1" applyProtection="1">
      <alignment horizontal="center" vertical="center" textRotation="255"/>
      <protection hidden="1"/>
    </xf>
    <xf numFmtId="0" fontId="0" fillId="0" borderId="64" xfId="0" applyBorder="1" applyAlignment="1"/>
    <xf numFmtId="0" fontId="0" fillId="0" borderId="19" xfId="0" applyBorder="1" applyAlignment="1"/>
    <xf numFmtId="0" fontId="28" fillId="2" borderId="65" xfId="0" applyFont="1" applyFill="1" applyBorder="1" applyAlignment="1" applyProtection="1">
      <alignment horizontal="center" vertical="center" textRotation="255"/>
      <protection hidden="1"/>
    </xf>
    <xf numFmtId="0" fontId="28" fillId="2" borderId="66" xfId="0" applyFont="1" applyFill="1" applyBorder="1" applyAlignment="1" applyProtection="1">
      <alignment horizontal="center" vertical="center" textRotation="255"/>
      <protection hidden="1"/>
    </xf>
    <xf numFmtId="0" fontId="28" fillId="2" borderId="67" xfId="0" applyFont="1" applyFill="1" applyBorder="1" applyAlignment="1" applyProtection="1">
      <alignment horizontal="center" vertical="center" textRotation="255"/>
      <protection hidden="1"/>
    </xf>
    <xf numFmtId="0" fontId="27" fillId="2" borderId="61" xfId="0" applyFont="1" applyFill="1" applyBorder="1" applyAlignment="1" applyProtection="1">
      <alignment horizontal="center" wrapText="1"/>
      <protection hidden="1"/>
    </xf>
    <xf numFmtId="0" fontId="27" fillId="2" borderId="62" xfId="0" applyFont="1" applyFill="1" applyBorder="1" applyAlignment="1" applyProtection="1">
      <alignment horizontal="center" wrapText="1"/>
      <protection hidden="1"/>
    </xf>
    <xf numFmtId="0" fontId="27" fillId="2" borderId="63" xfId="0" applyFont="1" applyFill="1" applyBorder="1" applyAlignment="1" applyProtection="1">
      <alignment horizontal="center" wrapText="1"/>
      <protection hidden="1"/>
    </xf>
    <xf numFmtId="0" fontId="27" fillId="2" borderId="0" xfId="0" applyFont="1" applyFill="1" applyAlignment="1">
      <alignment horizontal="center"/>
    </xf>
  </cellXfs>
  <cellStyles count="106">
    <cellStyle name="Comma" xfId="1" builtinId="3"/>
    <cellStyle name="Comma 2" xfId="5"/>
    <cellStyle name="Currency" xfId="2" builtinId="4"/>
    <cellStyle name="Currency 2" xfId="23"/>
    <cellStyle name="Currency 2 2" xfId="47"/>
    <cellStyle name="Currency 2 2 2" xfId="97"/>
    <cellStyle name="Currency 2 3" xfId="73"/>
    <cellStyle name="Currency 3" xfId="25"/>
    <cellStyle name="Currency 3 2" xfId="49"/>
    <cellStyle name="Currency 3 2 2" xfId="99"/>
    <cellStyle name="Currency 3 3" xfId="75"/>
    <cellStyle name="Currency 4" xfId="27"/>
    <cellStyle name="Currency 4 2" xfId="51"/>
    <cellStyle name="Currency 4 2 2" xfId="101"/>
    <cellStyle name="Currency 4 3" xfId="77"/>
    <cellStyle name="Currency 5" xfId="29"/>
    <cellStyle name="Currency 5 2" xfId="53"/>
    <cellStyle name="Currency 5 2 2" xfId="103"/>
    <cellStyle name="Currency 5 3" xfId="79"/>
    <cellStyle name="Currency 6" xfId="55"/>
    <cellStyle name="Currency 6 2" xfId="105"/>
    <cellStyle name="Normal" xfId="0" builtinId="0"/>
    <cellStyle name="Normal 10" xfId="13"/>
    <cellStyle name="Normal 10 2" xfId="37"/>
    <cellStyle name="Normal 10 2 2" xfId="87"/>
    <cellStyle name="Normal 10 3" xfId="63"/>
    <cellStyle name="Normal 11" xfId="14"/>
    <cellStyle name="Normal 11 2" xfId="38"/>
    <cellStyle name="Normal 11 2 2" xfId="88"/>
    <cellStyle name="Normal 11 3" xfId="64"/>
    <cellStyle name="Normal 12" xfId="15"/>
    <cellStyle name="Normal 12 2" xfId="39"/>
    <cellStyle name="Normal 12 2 2" xfId="89"/>
    <cellStyle name="Normal 12 3" xfId="65"/>
    <cellStyle name="Normal 13" xfId="16"/>
    <cellStyle name="Normal 13 2" xfId="40"/>
    <cellStyle name="Normal 13 2 2" xfId="90"/>
    <cellStyle name="Normal 13 3" xfId="66"/>
    <cellStyle name="Normal 14" xfId="17"/>
    <cellStyle name="Normal 14 2" xfId="41"/>
    <cellStyle name="Normal 14 2 2" xfId="91"/>
    <cellStyle name="Normal 14 3" xfId="67"/>
    <cellStyle name="Normal 15" xfId="18"/>
    <cellStyle name="Normal 15 2" xfId="42"/>
    <cellStyle name="Normal 15 2 2" xfId="92"/>
    <cellStyle name="Normal 15 3" xfId="68"/>
    <cellStyle name="Normal 16" xfId="19"/>
    <cellStyle name="Normal 16 2" xfId="43"/>
    <cellStyle name="Normal 16 2 2" xfId="93"/>
    <cellStyle name="Normal 16 3" xfId="69"/>
    <cellStyle name="Normal 17" xfId="20"/>
    <cellStyle name="Normal 17 2" xfId="44"/>
    <cellStyle name="Normal 17 2 2" xfId="94"/>
    <cellStyle name="Normal 17 3" xfId="70"/>
    <cellStyle name="Normal 18" xfId="21"/>
    <cellStyle name="Normal 18 2" xfId="45"/>
    <cellStyle name="Normal 18 2 2" xfId="95"/>
    <cellStyle name="Normal 18 3" xfId="71"/>
    <cellStyle name="Normal 19" xfId="22"/>
    <cellStyle name="Normal 19 2" xfId="46"/>
    <cellStyle name="Normal 19 2 2" xfId="96"/>
    <cellStyle name="Normal 19 3" xfId="72"/>
    <cellStyle name="Normal 2" xfId="4"/>
    <cellStyle name="Normal 2 2" xfId="8"/>
    <cellStyle name="Normal 20" xfId="24"/>
    <cellStyle name="Normal 20 2" xfId="48"/>
    <cellStyle name="Normal 20 2 2" xfId="98"/>
    <cellStyle name="Normal 20 3" xfId="74"/>
    <cellStyle name="Normal 21" xfId="26"/>
    <cellStyle name="Normal 21 2" xfId="50"/>
    <cellStyle name="Normal 21 2 2" xfId="100"/>
    <cellStyle name="Normal 21 3" xfId="76"/>
    <cellStyle name="Normal 22" xfId="28"/>
    <cellStyle name="Normal 22 2" xfId="52"/>
    <cellStyle name="Normal 22 2 2" xfId="102"/>
    <cellStyle name="Normal 22 3" xfId="78"/>
    <cellStyle name="Normal 23" xfId="54"/>
    <cellStyle name="Normal 23 2" xfId="104"/>
    <cellStyle name="Normal 3" xfId="3"/>
    <cellStyle name="Normal 3 2" xfId="30"/>
    <cellStyle name="Normal 3 2 2" xfId="80"/>
    <cellStyle name="Normal 3 3" xfId="56"/>
    <cellStyle name="Normal 4" xfId="6"/>
    <cellStyle name="Normal 4 2" xfId="31"/>
    <cellStyle name="Normal 4 2 2" xfId="81"/>
    <cellStyle name="Normal 4 3" xfId="57"/>
    <cellStyle name="Normal 5" xfId="7"/>
    <cellStyle name="Normal 5 2" xfId="32"/>
    <cellStyle name="Normal 5 2 2" xfId="82"/>
    <cellStyle name="Normal 5 3" xfId="58"/>
    <cellStyle name="Normal 6" xfId="9"/>
    <cellStyle name="Normal 6 2" xfId="33"/>
    <cellStyle name="Normal 6 2 2" xfId="83"/>
    <cellStyle name="Normal 6 3" xfId="59"/>
    <cellStyle name="Normal 7" xfId="10"/>
    <cellStyle name="Normal 7 2" xfId="34"/>
    <cellStyle name="Normal 7 2 2" xfId="84"/>
    <cellStyle name="Normal 7 3" xfId="60"/>
    <cellStyle name="Normal 8" xfId="11"/>
    <cellStyle name="Normal 8 2" xfId="35"/>
    <cellStyle name="Normal 8 2 2" xfId="85"/>
    <cellStyle name="Normal 8 3" xfId="61"/>
    <cellStyle name="Normal 9" xfId="12"/>
    <cellStyle name="Normal 9 2" xfId="36"/>
    <cellStyle name="Normal 9 2 2" xfId="86"/>
    <cellStyle name="Normal 9 3" xfId="62"/>
  </cellStyles>
  <dxfs count="3"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94"/>
  <sheetViews>
    <sheetView zoomScaleNormal="100" workbookViewId="0">
      <selection activeCell="I19" sqref="I19"/>
    </sheetView>
  </sheetViews>
  <sheetFormatPr defaultRowHeight="12.75" x14ac:dyDescent="0.2"/>
  <cols>
    <col min="1" max="1" width="7.140625" customWidth="1"/>
    <col min="2" max="4" width="13.7109375" customWidth="1"/>
    <col min="5" max="5" width="20.140625" customWidth="1"/>
    <col min="6" max="6" width="8" customWidth="1"/>
    <col min="7" max="8" width="11.7109375" customWidth="1"/>
    <col min="9" max="9" width="13.5703125" customWidth="1"/>
    <col min="10" max="11" width="12.7109375" customWidth="1"/>
  </cols>
  <sheetData>
    <row r="1" spans="1:33" ht="19.5" thickTop="1" thickBot="1" x14ac:dyDescent="0.3">
      <c r="A1" s="81"/>
      <c r="B1" s="82" t="s">
        <v>5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</row>
    <row r="2" spans="1:33" ht="17.25" thickTop="1" thickBot="1" x14ac:dyDescent="0.3">
      <c r="A2" s="85"/>
      <c r="B2" s="86" t="s">
        <v>6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3" ht="16.5" thickTop="1" thickBot="1" x14ac:dyDescent="0.25">
      <c r="A3" s="85"/>
      <c r="B3" s="89" t="s">
        <v>7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8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</row>
    <row r="4" spans="1:33" ht="16.5" thickTop="1" thickBot="1" x14ac:dyDescent="0.25">
      <c r="A4" s="90"/>
      <c r="B4" s="91" t="s">
        <v>8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3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</row>
    <row r="5" spans="1:33" ht="13.5" thickTop="1" x14ac:dyDescent="0.2">
      <c r="A5" s="94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101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</row>
    <row r="6" spans="1:33" ht="18" x14ac:dyDescent="0.25">
      <c r="A6" s="95"/>
      <c r="B6" s="137" t="s">
        <v>9</v>
      </c>
      <c r="C6" s="138"/>
      <c r="D6" s="138"/>
      <c r="E6" s="139"/>
      <c r="F6" s="98"/>
      <c r="G6" s="99"/>
      <c r="H6" s="137" t="s">
        <v>10</v>
      </c>
      <c r="I6" s="138"/>
      <c r="J6" s="138"/>
      <c r="K6" s="139"/>
      <c r="L6" s="98"/>
      <c r="M6" s="102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</row>
    <row r="7" spans="1:33" x14ac:dyDescent="0.2">
      <c r="A7" s="95"/>
      <c r="B7" s="105" t="s">
        <v>1</v>
      </c>
      <c r="C7" s="106" t="s">
        <v>11</v>
      </c>
      <c r="D7" s="106" t="s">
        <v>3</v>
      </c>
      <c r="E7" s="106" t="s">
        <v>4</v>
      </c>
      <c r="F7" s="98"/>
      <c r="G7" s="99"/>
      <c r="H7" s="105" t="s">
        <v>1</v>
      </c>
      <c r="I7" s="106" t="s">
        <v>11</v>
      </c>
      <c r="J7" s="106" t="s">
        <v>3</v>
      </c>
      <c r="K7" s="106" t="s">
        <v>4</v>
      </c>
      <c r="L7" s="140"/>
      <c r="M7" s="102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</row>
    <row r="8" spans="1:33" x14ac:dyDescent="0.2">
      <c r="A8" s="95"/>
      <c r="B8" s="6">
        <v>45689</v>
      </c>
      <c r="C8" s="107">
        <f>VLOOKUP(B8,MaintainIndexes,2,FALSE)</f>
        <v>581.41999999999996</v>
      </c>
      <c r="D8" s="108">
        <f>VLOOKUP($B8,MaintainIndexes,3,FALSE)</f>
        <v>2.83312106451613</v>
      </c>
      <c r="E8" s="108">
        <f>VLOOKUP($B8,MaintainIndexes,4,FALSE)</f>
        <v>2.3717205806451598</v>
      </c>
      <c r="F8" s="98"/>
      <c r="G8" s="99" t="s">
        <v>12</v>
      </c>
      <c r="H8" s="7">
        <v>45689</v>
      </c>
      <c r="I8" s="107">
        <f>VLOOKUP(H8,MaintainIndexes,2,FALSE)</f>
        <v>581.41999999999996</v>
      </c>
      <c r="J8" s="108">
        <f>VLOOKUP($H8,MaintainIndexes,3,FALSE)</f>
        <v>2.83312106451613</v>
      </c>
      <c r="K8" s="108">
        <f>VLOOKUP($H8,MaintainIndexes,4,FALSE)</f>
        <v>2.3717205806451598</v>
      </c>
      <c r="L8" s="140"/>
      <c r="M8" s="102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</row>
    <row r="9" spans="1:33" ht="13.5" thickBot="1" x14ac:dyDescent="0.25">
      <c r="A9" s="96"/>
      <c r="B9" s="100"/>
      <c r="C9" s="100"/>
      <c r="D9" s="104"/>
      <c r="E9" s="104"/>
      <c r="F9" s="100"/>
      <c r="G9" s="100"/>
      <c r="H9" s="100"/>
      <c r="I9" s="100"/>
      <c r="J9" s="100"/>
      <c r="K9" s="100"/>
      <c r="L9" s="100"/>
      <c r="M9" s="103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</row>
    <row r="10" spans="1:33" ht="13.5" thickTop="1" x14ac:dyDescent="0.2">
      <c r="A10" s="95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102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</row>
    <row r="11" spans="1:33" x14ac:dyDescent="0.2">
      <c r="A11" s="95"/>
      <c r="B11" s="141" t="s">
        <v>13</v>
      </c>
      <c r="C11" s="141"/>
      <c r="D11" s="141"/>
      <c r="E11" s="141"/>
      <c r="F11" s="141" t="s">
        <v>14</v>
      </c>
      <c r="G11" s="141" t="s">
        <v>15</v>
      </c>
      <c r="H11" s="141"/>
      <c r="I11" s="141" t="s">
        <v>16</v>
      </c>
      <c r="J11" s="141"/>
      <c r="K11" s="141"/>
      <c r="L11" s="98"/>
      <c r="M11" s="102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</row>
    <row r="12" spans="1:33" x14ac:dyDescent="0.2">
      <c r="A12" s="95"/>
      <c r="B12" s="141"/>
      <c r="C12" s="141"/>
      <c r="D12" s="141"/>
      <c r="E12" s="141"/>
      <c r="F12" s="141"/>
      <c r="G12" s="117" t="s">
        <v>3</v>
      </c>
      <c r="H12" s="117" t="s">
        <v>4</v>
      </c>
      <c r="I12" s="118" t="s">
        <v>3</v>
      </c>
      <c r="J12" s="118" t="s">
        <v>4</v>
      </c>
      <c r="K12" s="118" t="s">
        <v>17</v>
      </c>
      <c r="L12" s="98"/>
      <c r="M12" s="102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</row>
    <row r="13" spans="1:33" x14ac:dyDescent="0.2">
      <c r="A13" s="95"/>
      <c r="B13" s="142" t="s">
        <v>18</v>
      </c>
      <c r="C13" s="142"/>
      <c r="D13" s="142"/>
      <c r="E13" s="142"/>
      <c r="F13" s="109" t="s">
        <v>19</v>
      </c>
      <c r="G13" s="110">
        <v>0.28999999999999998</v>
      </c>
      <c r="H13" s="110">
        <v>0.15</v>
      </c>
      <c r="I13" s="111">
        <f t="shared" ref="I13:I27" si="0">ROUND(G13*DieselChange,2)</f>
        <v>0</v>
      </c>
      <c r="J13" s="111">
        <f>ROUND(H13*UnleadedChange,2)</f>
        <v>0</v>
      </c>
      <c r="K13" s="111">
        <f>I13+J13</f>
        <v>0</v>
      </c>
      <c r="L13" s="98"/>
      <c r="M13" s="102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</row>
    <row r="14" spans="1:33" x14ac:dyDescent="0.2">
      <c r="A14" s="95"/>
      <c r="B14" s="142" t="s">
        <v>20</v>
      </c>
      <c r="C14" s="142"/>
      <c r="D14" s="142"/>
      <c r="E14" s="142"/>
      <c r="F14" s="109" t="s">
        <v>19</v>
      </c>
      <c r="G14" s="110">
        <v>0.28999999999999998</v>
      </c>
      <c r="H14" s="110">
        <v>0.15</v>
      </c>
      <c r="I14" s="111">
        <f t="shared" si="0"/>
        <v>0</v>
      </c>
      <c r="J14" s="111">
        <f t="shared" ref="J14:J27" si="1">ROUND(H14*UnleadedChange,2)</f>
        <v>0</v>
      </c>
      <c r="K14" s="111">
        <f t="shared" ref="K14:K27" si="2">I14+J14</f>
        <v>0</v>
      </c>
      <c r="L14" s="98"/>
      <c r="M14" s="102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</row>
    <row r="15" spans="1:33" x14ac:dyDescent="0.2">
      <c r="A15" s="95"/>
      <c r="B15" s="142" t="s">
        <v>22</v>
      </c>
      <c r="C15" s="142"/>
      <c r="D15" s="142"/>
      <c r="E15" s="142"/>
      <c r="F15" s="109" t="s">
        <v>21</v>
      </c>
      <c r="G15" s="110">
        <v>0.1</v>
      </c>
      <c r="H15" s="110">
        <v>0.06</v>
      </c>
      <c r="I15" s="111">
        <f t="shared" si="0"/>
        <v>0</v>
      </c>
      <c r="J15" s="111">
        <f t="shared" si="1"/>
        <v>0</v>
      </c>
      <c r="K15" s="111">
        <f t="shared" si="2"/>
        <v>0</v>
      </c>
      <c r="L15" s="98"/>
      <c r="M15" s="102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</row>
    <row r="16" spans="1:33" x14ac:dyDescent="0.2">
      <c r="A16" s="95"/>
      <c r="B16" s="142" t="s">
        <v>23</v>
      </c>
      <c r="C16" s="142"/>
      <c r="D16" s="142"/>
      <c r="E16" s="142"/>
      <c r="F16" s="109" t="s">
        <v>21</v>
      </c>
      <c r="G16" s="110">
        <v>0.13</v>
      </c>
      <c r="H16" s="110">
        <v>0.06</v>
      </c>
      <c r="I16" s="111">
        <f t="shared" si="0"/>
        <v>0</v>
      </c>
      <c r="J16" s="111">
        <f t="shared" si="1"/>
        <v>0</v>
      </c>
      <c r="K16" s="111">
        <f t="shared" si="2"/>
        <v>0</v>
      </c>
      <c r="L16" s="98"/>
      <c r="M16" s="102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</row>
    <row r="17" spans="1:33" x14ac:dyDescent="0.2">
      <c r="A17" s="95"/>
      <c r="B17" s="142" t="s">
        <v>59</v>
      </c>
      <c r="C17" s="142"/>
      <c r="D17" s="142"/>
      <c r="E17" s="142"/>
      <c r="F17" s="109" t="s">
        <v>21</v>
      </c>
      <c r="G17" s="110">
        <v>0.16</v>
      </c>
      <c r="H17" s="110">
        <v>0.1</v>
      </c>
      <c r="I17" s="111">
        <f>ROUND(G17*DieselChange,2)</f>
        <v>0</v>
      </c>
      <c r="J17" s="111">
        <f>ROUND(H17*UnleadedChange,2)</f>
        <v>0</v>
      </c>
      <c r="K17" s="111">
        <f>I17+J17</f>
        <v>0</v>
      </c>
      <c r="L17" s="98"/>
      <c r="M17" s="102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</row>
    <row r="18" spans="1:33" x14ac:dyDescent="0.2">
      <c r="A18" s="95"/>
      <c r="B18" s="142" t="s">
        <v>24</v>
      </c>
      <c r="C18" s="142"/>
      <c r="D18" s="142"/>
      <c r="E18" s="142"/>
      <c r="F18" s="109" t="s">
        <v>25</v>
      </c>
      <c r="G18" s="110">
        <v>2.9</v>
      </c>
      <c r="H18" s="110">
        <v>0.71</v>
      </c>
      <c r="I18" s="111">
        <f t="shared" si="0"/>
        <v>0</v>
      </c>
      <c r="J18" s="111">
        <f t="shared" si="1"/>
        <v>0</v>
      </c>
      <c r="K18" s="111">
        <f t="shared" si="2"/>
        <v>0</v>
      </c>
      <c r="L18" s="98"/>
      <c r="M18" s="102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</row>
    <row r="19" spans="1:33" x14ac:dyDescent="0.2">
      <c r="A19" s="95"/>
      <c r="B19" s="142" t="s">
        <v>64</v>
      </c>
      <c r="C19" s="142"/>
      <c r="D19" s="142"/>
      <c r="E19" s="142"/>
      <c r="F19" s="109" t="s">
        <v>21</v>
      </c>
      <c r="G19" s="110">
        <v>0.64</v>
      </c>
      <c r="H19" s="110">
        <v>0.16</v>
      </c>
      <c r="I19" s="111">
        <f t="shared" si="0"/>
        <v>0</v>
      </c>
      <c r="J19" s="111">
        <f t="shared" si="1"/>
        <v>0</v>
      </c>
      <c r="K19" s="111">
        <f t="shared" si="2"/>
        <v>0</v>
      </c>
      <c r="L19" s="98"/>
      <c r="M19" s="102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</row>
    <row r="20" spans="1:33" x14ac:dyDescent="0.2">
      <c r="A20" s="95"/>
      <c r="B20" s="142" t="s">
        <v>65</v>
      </c>
      <c r="C20" s="142"/>
      <c r="D20" s="142"/>
      <c r="E20" s="142"/>
      <c r="F20" s="109" t="s">
        <v>21</v>
      </c>
      <c r="G20" s="110">
        <v>0.96</v>
      </c>
      <c r="H20" s="110">
        <v>0.23</v>
      </c>
      <c r="I20" s="111">
        <f t="shared" si="0"/>
        <v>0</v>
      </c>
      <c r="J20" s="111">
        <f t="shared" si="1"/>
        <v>0</v>
      </c>
      <c r="K20" s="111">
        <f t="shared" si="2"/>
        <v>0</v>
      </c>
      <c r="L20" s="98"/>
      <c r="M20" s="102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</row>
    <row r="21" spans="1:33" x14ac:dyDescent="0.2">
      <c r="A21" s="95"/>
      <c r="B21" s="142" t="s">
        <v>66</v>
      </c>
      <c r="C21" s="142"/>
      <c r="D21" s="142"/>
      <c r="E21" s="142"/>
      <c r="F21" s="109" t="s">
        <v>21</v>
      </c>
      <c r="G21" s="110">
        <v>1.28</v>
      </c>
      <c r="H21" s="110">
        <v>0.31</v>
      </c>
      <c r="I21" s="111">
        <f t="shared" si="0"/>
        <v>0</v>
      </c>
      <c r="J21" s="111">
        <f t="shared" si="1"/>
        <v>0</v>
      </c>
      <c r="K21" s="111">
        <f t="shared" si="2"/>
        <v>0</v>
      </c>
      <c r="L21" s="98"/>
      <c r="M21" s="102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">
      <c r="A22" s="95"/>
      <c r="B22" s="142" t="s">
        <v>67</v>
      </c>
      <c r="C22" s="142"/>
      <c r="D22" s="142"/>
      <c r="E22" s="142"/>
      <c r="F22" s="109" t="s">
        <v>21</v>
      </c>
      <c r="G22" s="110">
        <v>1.6</v>
      </c>
      <c r="H22" s="110">
        <v>0.39</v>
      </c>
      <c r="I22" s="111">
        <f t="shared" si="0"/>
        <v>0</v>
      </c>
      <c r="J22" s="111">
        <f t="shared" si="1"/>
        <v>0</v>
      </c>
      <c r="K22" s="111">
        <f t="shared" si="2"/>
        <v>0</v>
      </c>
      <c r="L22" s="98"/>
      <c r="M22" s="102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</row>
    <row r="23" spans="1:33" x14ac:dyDescent="0.2">
      <c r="A23" s="95"/>
      <c r="B23" s="142" t="s">
        <v>68</v>
      </c>
      <c r="C23" s="142"/>
      <c r="D23" s="142"/>
      <c r="E23" s="142"/>
      <c r="F23" s="109" t="s">
        <v>21</v>
      </c>
      <c r="G23" s="110">
        <v>1.91</v>
      </c>
      <c r="H23" s="110">
        <v>0.47</v>
      </c>
      <c r="I23" s="111">
        <f t="shared" si="0"/>
        <v>0</v>
      </c>
      <c r="J23" s="111">
        <f t="shared" si="1"/>
        <v>0</v>
      </c>
      <c r="K23" s="111">
        <f t="shared" si="2"/>
        <v>0</v>
      </c>
      <c r="L23" s="98"/>
      <c r="M23" s="102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</row>
    <row r="24" spans="1:33" x14ac:dyDescent="0.2">
      <c r="A24" s="95"/>
      <c r="B24" s="142" t="s">
        <v>26</v>
      </c>
      <c r="C24" s="142"/>
      <c r="D24" s="142"/>
      <c r="E24" s="142"/>
      <c r="F24" s="109" t="s">
        <v>21</v>
      </c>
      <c r="G24" s="110">
        <v>0.25</v>
      </c>
      <c r="H24" s="110">
        <v>0.2</v>
      </c>
      <c r="I24" s="111">
        <f t="shared" si="0"/>
        <v>0</v>
      </c>
      <c r="J24" s="111">
        <f t="shared" si="1"/>
        <v>0</v>
      </c>
      <c r="K24" s="111">
        <f t="shared" si="2"/>
        <v>0</v>
      </c>
      <c r="L24" s="98"/>
      <c r="M24" s="102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</row>
    <row r="25" spans="1:33" x14ac:dyDescent="0.2">
      <c r="A25" s="95"/>
      <c r="B25" s="142" t="s">
        <v>27</v>
      </c>
      <c r="C25" s="142"/>
      <c r="D25" s="142"/>
      <c r="E25" s="142"/>
      <c r="F25" s="109" t="s">
        <v>19</v>
      </c>
      <c r="G25" s="110">
        <v>1</v>
      </c>
      <c r="H25" s="110">
        <v>0.2</v>
      </c>
      <c r="I25" s="111">
        <f t="shared" si="0"/>
        <v>0</v>
      </c>
      <c r="J25" s="111">
        <f t="shared" si="1"/>
        <v>0</v>
      </c>
      <c r="K25" s="111">
        <f t="shared" si="2"/>
        <v>0</v>
      </c>
      <c r="L25" s="98"/>
      <c r="M25" s="102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</row>
    <row r="26" spans="1:33" x14ac:dyDescent="0.2">
      <c r="A26" s="95"/>
      <c r="B26" s="142" t="s">
        <v>28</v>
      </c>
      <c r="C26" s="142"/>
      <c r="D26" s="142"/>
      <c r="E26" s="142"/>
      <c r="F26" s="109" t="s">
        <v>29</v>
      </c>
      <c r="G26" s="110">
        <v>0.5</v>
      </c>
      <c r="H26" s="110">
        <v>0.15</v>
      </c>
      <c r="I26" s="111">
        <f t="shared" si="0"/>
        <v>0</v>
      </c>
      <c r="J26" s="111">
        <f t="shared" si="1"/>
        <v>0</v>
      </c>
      <c r="K26" s="111">
        <f t="shared" si="2"/>
        <v>0</v>
      </c>
      <c r="L26" s="98"/>
      <c r="M26" s="102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</row>
    <row r="27" spans="1:33" x14ac:dyDescent="0.2">
      <c r="A27" s="95"/>
      <c r="B27" s="142" t="s">
        <v>30</v>
      </c>
      <c r="C27" s="142"/>
      <c r="D27" s="142"/>
      <c r="E27" s="142"/>
      <c r="F27" s="109" t="s">
        <v>29</v>
      </c>
      <c r="G27" s="110">
        <v>0.75</v>
      </c>
      <c r="H27" s="110">
        <v>0.15</v>
      </c>
      <c r="I27" s="111">
        <f t="shared" si="0"/>
        <v>0</v>
      </c>
      <c r="J27" s="111">
        <f t="shared" si="1"/>
        <v>0</v>
      </c>
      <c r="K27" s="111">
        <f t="shared" si="2"/>
        <v>0</v>
      </c>
      <c r="L27" s="98"/>
      <c r="M27" s="102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</row>
    <row r="28" spans="1:33" x14ac:dyDescent="0.2">
      <c r="A28" s="95"/>
      <c r="B28" s="142" t="s">
        <v>60</v>
      </c>
      <c r="C28" s="142"/>
      <c r="D28" s="142"/>
      <c r="E28" s="142"/>
      <c r="F28" s="109" t="s">
        <v>19</v>
      </c>
      <c r="G28" s="110">
        <v>2.8</v>
      </c>
      <c r="H28" s="110">
        <v>0</v>
      </c>
      <c r="I28" s="111">
        <f t="shared" ref="I28" si="3">ROUND(G28*DieselChange,2)</f>
        <v>0</v>
      </c>
      <c r="J28" s="111">
        <f t="shared" ref="J28" si="4">ROUND(H28*UnleadedChange,2)</f>
        <v>0</v>
      </c>
      <c r="K28" s="111">
        <f t="shared" ref="K28" si="5">I28+J28</f>
        <v>0</v>
      </c>
      <c r="L28" s="98"/>
      <c r="M28" s="102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</row>
    <row r="29" spans="1:33" ht="13.5" thickBot="1" x14ac:dyDescent="0.25">
      <c r="A29" s="96"/>
      <c r="B29" s="119" t="s">
        <v>31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3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</row>
    <row r="30" spans="1:33" ht="13.5" thickTop="1" x14ac:dyDescent="0.2">
      <c r="A30" s="120"/>
      <c r="B30" s="98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01"/>
      <c r="N30" s="80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</row>
    <row r="31" spans="1:33" x14ac:dyDescent="0.2">
      <c r="A31" s="95"/>
      <c r="B31" s="143" t="s">
        <v>32</v>
      </c>
      <c r="C31" s="144"/>
      <c r="D31" s="144"/>
      <c r="E31" s="145"/>
      <c r="F31" s="141" t="s">
        <v>14</v>
      </c>
      <c r="G31" s="149" t="s">
        <v>33</v>
      </c>
      <c r="H31" s="149"/>
      <c r="I31" s="149" t="s">
        <v>34</v>
      </c>
      <c r="J31" s="149"/>
      <c r="K31" s="129"/>
      <c r="L31" s="130"/>
      <c r="M31" s="131"/>
      <c r="N31" s="80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</row>
    <row r="32" spans="1:33" x14ac:dyDescent="0.2">
      <c r="A32" s="95"/>
      <c r="B32" s="146"/>
      <c r="C32" s="147"/>
      <c r="D32" s="147"/>
      <c r="E32" s="148"/>
      <c r="F32" s="141"/>
      <c r="G32" s="149"/>
      <c r="H32" s="149"/>
      <c r="I32" s="149"/>
      <c r="J32" s="149"/>
      <c r="K32" s="132"/>
      <c r="L32" s="130"/>
      <c r="M32" s="131"/>
      <c r="N32" s="80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</row>
    <row r="33" spans="1:33" x14ac:dyDescent="0.2">
      <c r="A33" s="95"/>
      <c r="B33" s="142" t="s">
        <v>35</v>
      </c>
      <c r="C33" s="142"/>
      <c r="D33" s="142"/>
      <c r="E33" s="142"/>
      <c r="F33" s="109" t="s">
        <v>25</v>
      </c>
      <c r="G33" s="150">
        <v>1</v>
      </c>
      <c r="H33" s="150"/>
      <c r="I33" s="151">
        <f t="shared" ref="I33:I39" si="6">ROUND((G33*AsphaltBinderChange),2)</f>
        <v>0</v>
      </c>
      <c r="J33" s="152"/>
      <c r="K33" s="132"/>
      <c r="L33" s="130"/>
      <c r="M33" s="131"/>
      <c r="N33" s="80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</row>
    <row r="34" spans="1:33" x14ac:dyDescent="0.2">
      <c r="A34" s="95"/>
      <c r="B34" s="142" t="s">
        <v>36</v>
      </c>
      <c r="C34" s="142"/>
      <c r="D34" s="142"/>
      <c r="E34" s="142"/>
      <c r="F34" s="109" t="s">
        <v>25</v>
      </c>
      <c r="G34" s="150">
        <v>1</v>
      </c>
      <c r="H34" s="150"/>
      <c r="I34" s="151">
        <f t="shared" si="6"/>
        <v>0</v>
      </c>
      <c r="J34" s="152"/>
      <c r="K34" s="132"/>
      <c r="L34" s="130"/>
      <c r="M34" s="131"/>
      <c r="N34" s="80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</row>
    <row r="35" spans="1:33" x14ac:dyDescent="0.2">
      <c r="A35" s="95"/>
      <c r="B35" s="142" t="s">
        <v>69</v>
      </c>
      <c r="C35" s="142"/>
      <c r="D35" s="142"/>
      <c r="E35" s="142"/>
      <c r="F35" s="109" t="s">
        <v>21</v>
      </c>
      <c r="G35" s="150">
        <v>1.0999999999999999E-2</v>
      </c>
      <c r="H35" s="150"/>
      <c r="I35" s="151">
        <f t="shared" si="6"/>
        <v>0</v>
      </c>
      <c r="J35" s="152"/>
      <c r="K35" s="132"/>
      <c r="L35" s="130"/>
      <c r="M35" s="131"/>
      <c r="N35" s="80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</row>
    <row r="36" spans="1:33" x14ac:dyDescent="0.2">
      <c r="A36" s="95"/>
      <c r="B36" s="142" t="s">
        <v>70</v>
      </c>
      <c r="C36" s="142"/>
      <c r="D36" s="142"/>
      <c r="E36" s="142"/>
      <c r="F36" s="109" t="s">
        <v>21</v>
      </c>
      <c r="G36" s="150">
        <v>1.6500000000000001E-2</v>
      </c>
      <c r="H36" s="150"/>
      <c r="I36" s="151">
        <f t="shared" si="6"/>
        <v>0</v>
      </c>
      <c r="J36" s="152"/>
      <c r="K36" s="132"/>
      <c r="L36" s="130"/>
      <c r="M36" s="131"/>
      <c r="N36" s="80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</row>
    <row r="37" spans="1:33" x14ac:dyDescent="0.2">
      <c r="A37" s="95"/>
      <c r="B37" s="142" t="s">
        <v>71</v>
      </c>
      <c r="C37" s="142"/>
      <c r="D37" s="142"/>
      <c r="E37" s="142"/>
      <c r="F37" s="109" t="s">
        <v>21</v>
      </c>
      <c r="G37" s="150">
        <v>2.1999999999999999E-2</v>
      </c>
      <c r="H37" s="150"/>
      <c r="I37" s="151">
        <f t="shared" si="6"/>
        <v>0</v>
      </c>
      <c r="J37" s="152"/>
      <c r="K37" s="132"/>
      <c r="L37" s="130"/>
      <c r="M37" s="131"/>
      <c r="N37" s="80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</row>
    <row r="38" spans="1:33" x14ac:dyDescent="0.2">
      <c r="A38" s="95"/>
      <c r="B38" s="142" t="s">
        <v>72</v>
      </c>
      <c r="C38" s="142"/>
      <c r="D38" s="142"/>
      <c r="E38" s="142"/>
      <c r="F38" s="109" t="s">
        <v>21</v>
      </c>
      <c r="G38" s="150">
        <v>2.75E-2</v>
      </c>
      <c r="H38" s="150"/>
      <c r="I38" s="151">
        <f t="shared" si="6"/>
        <v>0</v>
      </c>
      <c r="J38" s="152"/>
      <c r="K38" s="132"/>
      <c r="L38" s="130"/>
      <c r="M38" s="131"/>
      <c r="N38" s="80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</row>
    <row r="39" spans="1:33" x14ac:dyDescent="0.2">
      <c r="A39" s="95"/>
      <c r="B39" s="142" t="s">
        <v>73</v>
      </c>
      <c r="C39" s="142"/>
      <c r="D39" s="142"/>
      <c r="E39" s="142"/>
      <c r="F39" s="109" t="s">
        <v>21</v>
      </c>
      <c r="G39" s="150">
        <v>3.3000000000000002E-2</v>
      </c>
      <c r="H39" s="150"/>
      <c r="I39" s="151">
        <f t="shared" si="6"/>
        <v>0</v>
      </c>
      <c r="J39" s="152"/>
      <c r="K39" s="132"/>
      <c r="L39" s="130"/>
      <c r="M39" s="131"/>
      <c r="N39" s="80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</row>
    <row r="40" spans="1:33" x14ac:dyDescent="0.2">
      <c r="A40" s="95"/>
      <c r="B40" s="136" t="s">
        <v>80</v>
      </c>
      <c r="C40" s="112"/>
      <c r="D40" s="112"/>
      <c r="E40" s="112"/>
      <c r="F40" s="109" t="s">
        <v>21</v>
      </c>
      <c r="G40" s="156">
        <v>7.7446808510638304E-4</v>
      </c>
      <c r="H40" s="157"/>
      <c r="I40" s="151">
        <f t="shared" ref="I40:I47" si="7">ROUND((G40*AsphaltBinderChange),2)</f>
        <v>0</v>
      </c>
      <c r="J40" s="152"/>
      <c r="K40" s="132"/>
      <c r="L40" s="130"/>
      <c r="M40" s="131"/>
      <c r="N40" s="80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</row>
    <row r="41" spans="1:33" x14ac:dyDescent="0.2">
      <c r="A41" s="95"/>
      <c r="B41" s="135" t="s">
        <v>77</v>
      </c>
      <c r="C41" s="113"/>
      <c r="D41" s="113"/>
      <c r="E41" s="114"/>
      <c r="F41" s="109" t="s">
        <v>21</v>
      </c>
      <c r="G41" s="161">
        <v>1.5212765957446799E-3</v>
      </c>
      <c r="H41" s="162"/>
      <c r="I41" s="151">
        <f>ROUND((G41*AsphaltBinderChange),2)</f>
        <v>0</v>
      </c>
      <c r="J41" s="152"/>
      <c r="K41" s="132"/>
      <c r="L41" s="130"/>
      <c r="M41" s="131"/>
      <c r="N41" s="80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</row>
    <row r="42" spans="1:33" x14ac:dyDescent="0.2">
      <c r="A42" s="95"/>
      <c r="B42" s="135" t="s">
        <v>78</v>
      </c>
      <c r="C42" s="113"/>
      <c r="D42" s="113"/>
      <c r="E42" s="114"/>
      <c r="F42" s="109" t="s">
        <v>21</v>
      </c>
      <c r="G42" s="161">
        <v>1.2723404255319201E-3</v>
      </c>
      <c r="H42" s="162"/>
      <c r="I42" s="151">
        <f>ROUND((G42*AsphaltBinderChange),2)</f>
        <v>0</v>
      </c>
      <c r="J42" s="152"/>
      <c r="K42" s="132"/>
      <c r="L42" s="130"/>
      <c r="M42" s="131"/>
      <c r="N42" s="80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</row>
    <row r="43" spans="1:33" x14ac:dyDescent="0.2">
      <c r="A43" s="95"/>
      <c r="B43" s="135" t="s">
        <v>79</v>
      </c>
      <c r="C43" s="113"/>
      <c r="D43" s="113"/>
      <c r="E43" s="114"/>
      <c r="F43" s="115" t="s">
        <v>21</v>
      </c>
      <c r="G43" s="161">
        <v>1.3276595744680852E-3</v>
      </c>
      <c r="H43" s="162"/>
      <c r="I43" s="151">
        <f t="shared" si="7"/>
        <v>0</v>
      </c>
      <c r="J43" s="152"/>
      <c r="K43" s="132"/>
      <c r="L43" s="130"/>
      <c r="M43" s="131"/>
      <c r="N43" s="80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</row>
    <row r="44" spans="1:33" x14ac:dyDescent="0.2">
      <c r="A44" s="95"/>
      <c r="B44" s="116" t="s">
        <v>82</v>
      </c>
      <c r="C44" s="116"/>
      <c r="D44" s="116"/>
      <c r="E44" s="116"/>
      <c r="F44" s="109" t="s">
        <v>21</v>
      </c>
      <c r="G44" s="156">
        <v>1.9638297872340425E-3</v>
      </c>
      <c r="H44" s="157"/>
      <c r="I44" s="151">
        <f t="shared" si="7"/>
        <v>0</v>
      </c>
      <c r="J44" s="152"/>
      <c r="K44" s="132"/>
      <c r="L44" s="130"/>
      <c r="M44" s="131"/>
      <c r="N44" s="80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</row>
    <row r="45" spans="1:33" x14ac:dyDescent="0.2">
      <c r="A45" s="95"/>
      <c r="B45" s="153" t="s">
        <v>74</v>
      </c>
      <c r="C45" s="154"/>
      <c r="D45" s="154"/>
      <c r="E45" s="155"/>
      <c r="F45" s="109" t="s">
        <v>21</v>
      </c>
      <c r="G45" s="156">
        <v>7.2000000000000005E-4</v>
      </c>
      <c r="H45" s="157"/>
      <c r="I45" s="151">
        <f t="shared" si="7"/>
        <v>0</v>
      </c>
      <c r="J45" s="152"/>
      <c r="K45" s="132"/>
      <c r="L45" s="130"/>
      <c r="M45" s="131"/>
      <c r="N45" s="80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</row>
    <row r="46" spans="1:33" x14ac:dyDescent="0.2">
      <c r="A46" s="95"/>
      <c r="B46" s="153" t="s">
        <v>75</v>
      </c>
      <c r="C46" s="154"/>
      <c r="D46" s="154"/>
      <c r="E46" s="155"/>
      <c r="F46" s="109" t="s">
        <v>25</v>
      </c>
      <c r="G46" s="156">
        <v>0.08</v>
      </c>
      <c r="H46" s="158"/>
      <c r="I46" s="151">
        <f t="shared" si="7"/>
        <v>0</v>
      </c>
      <c r="J46" s="152"/>
      <c r="K46" s="132"/>
      <c r="L46" s="130"/>
      <c r="M46" s="131"/>
      <c r="N46" s="80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</row>
    <row r="47" spans="1:33" x14ac:dyDescent="0.2">
      <c r="A47" s="95"/>
      <c r="B47" s="153" t="s">
        <v>56</v>
      </c>
      <c r="C47" s="154"/>
      <c r="D47" s="154"/>
      <c r="E47" s="155"/>
      <c r="F47" s="109" t="s">
        <v>57</v>
      </c>
      <c r="G47" s="156">
        <v>2.8E-3</v>
      </c>
      <c r="H47" s="157"/>
      <c r="I47" s="151">
        <f t="shared" si="7"/>
        <v>0</v>
      </c>
      <c r="J47" s="152"/>
      <c r="K47" s="132"/>
      <c r="L47" s="130"/>
      <c r="M47" s="131"/>
      <c r="N47" s="80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</row>
    <row r="48" spans="1:33" ht="12.75" customHeight="1" x14ac:dyDescent="0.2">
      <c r="A48" s="95"/>
      <c r="B48" s="159" t="s">
        <v>76</v>
      </c>
      <c r="C48" s="154"/>
      <c r="D48" s="154"/>
      <c r="E48" s="155"/>
      <c r="F48" s="133" t="s">
        <v>21</v>
      </c>
      <c r="G48" s="160">
        <v>2.5999999999999999E-3</v>
      </c>
      <c r="H48" s="157"/>
      <c r="I48" s="151">
        <f>ROUND((G48*AsphaltBinderChange),2)</f>
        <v>0</v>
      </c>
      <c r="J48" s="152"/>
      <c r="K48" s="132"/>
      <c r="L48" s="130"/>
      <c r="M48" s="131"/>
      <c r="N48" s="80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</row>
    <row r="49" spans="1:33" x14ac:dyDescent="0.2">
      <c r="A49" s="95"/>
      <c r="B49" s="122" t="s">
        <v>31</v>
      </c>
      <c r="C49" s="123"/>
      <c r="D49" s="123"/>
      <c r="E49" s="123"/>
      <c r="F49" s="124"/>
      <c r="G49" s="125"/>
      <c r="H49" s="125"/>
      <c r="I49" s="126"/>
      <c r="J49" s="126"/>
      <c r="K49" s="127"/>
      <c r="L49" s="128"/>
      <c r="M49" s="102"/>
      <c r="N49" s="80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</row>
    <row r="50" spans="1:33" x14ac:dyDescent="0.2">
      <c r="A50" s="95"/>
      <c r="B50" s="122"/>
      <c r="C50" s="123"/>
      <c r="D50" s="123"/>
      <c r="E50" s="123"/>
      <c r="F50" s="124"/>
      <c r="G50" s="125"/>
      <c r="H50" s="125"/>
      <c r="I50" s="126"/>
      <c r="J50" s="126"/>
      <c r="K50" s="127"/>
      <c r="L50" s="128"/>
      <c r="M50" s="102"/>
      <c r="N50" s="80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</row>
    <row r="51" spans="1:33" x14ac:dyDescent="0.2">
      <c r="A51" s="95"/>
      <c r="B51" s="122"/>
      <c r="C51" s="123"/>
      <c r="D51" s="123"/>
      <c r="E51" s="123"/>
      <c r="F51" s="124"/>
      <c r="G51" s="125"/>
      <c r="H51" s="125"/>
      <c r="I51" s="126"/>
      <c r="J51" s="126"/>
      <c r="K51" s="127"/>
      <c r="L51" s="128"/>
      <c r="M51" s="102"/>
      <c r="N51" s="80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</row>
    <row r="52" spans="1:33" x14ac:dyDescent="0.2">
      <c r="A52" s="95"/>
      <c r="B52" s="122"/>
      <c r="C52" s="123"/>
      <c r="D52" s="123"/>
      <c r="E52" s="123"/>
      <c r="F52" s="124"/>
      <c r="G52" s="125"/>
      <c r="H52" s="125"/>
      <c r="I52" s="126"/>
      <c r="J52" s="126"/>
      <c r="K52" s="127"/>
      <c r="L52" s="128"/>
      <c r="M52" s="102"/>
      <c r="N52" s="80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</row>
    <row r="53" spans="1:33" x14ac:dyDescent="0.2">
      <c r="A53" s="95"/>
      <c r="B53" s="122"/>
      <c r="C53" s="123"/>
      <c r="D53" s="123"/>
      <c r="E53" s="123"/>
      <c r="F53" s="124"/>
      <c r="G53" s="125"/>
      <c r="H53" s="125"/>
      <c r="I53" s="126"/>
      <c r="J53" s="126"/>
      <c r="K53" s="127"/>
      <c r="L53" s="128"/>
      <c r="M53" s="102"/>
      <c r="N53" s="80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</row>
    <row r="54" spans="1:33" x14ac:dyDescent="0.2">
      <c r="A54" s="95"/>
      <c r="B54" s="122"/>
      <c r="C54" s="123"/>
      <c r="D54" s="123"/>
      <c r="E54" s="123"/>
      <c r="F54" s="124"/>
      <c r="G54" s="125"/>
      <c r="H54" s="125"/>
      <c r="I54" s="126"/>
      <c r="J54" s="126"/>
      <c r="K54" s="127"/>
      <c r="L54" s="128"/>
      <c r="M54" s="102"/>
      <c r="N54" s="80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</row>
    <row r="55" spans="1:33" x14ac:dyDescent="0.2">
      <c r="A55" s="95"/>
      <c r="B55" s="122"/>
      <c r="C55" s="123"/>
      <c r="D55" s="123"/>
      <c r="E55" s="123"/>
      <c r="F55" s="124"/>
      <c r="G55" s="125"/>
      <c r="H55" s="125"/>
      <c r="I55" s="126"/>
      <c r="J55" s="126"/>
      <c r="K55" s="127"/>
      <c r="L55" s="128"/>
      <c r="M55" s="102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</row>
    <row r="56" spans="1:33" x14ac:dyDescent="0.2">
      <c r="A56" s="95"/>
      <c r="B56" s="122"/>
      <c r="C56" s="123"/>
      <c r="D56" s="123"/>
      <c r="E56" s="123"/>
      <c r="F56" s="124"/>
      <c r="G56" s="125"/>
      <c r="H56" s="125"/>
      <c r="I56" s="126"/>
      <c r="J56" s="126"/>
      <c r="K56" s="127"/>
      <c r="L56" s="128"/>
      <c r="M56" s="102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</row>
    <row r="57" spans="1:33" x14ac:dyDescent="0.2">
      <c r="A57" s="95"/>
      <c r="B57" s="122"/>
      <c r="C57" s="123"/>
      <c r="D57" s="123"/>
      <c r="E57" s="123"/>
      <c r="F57" s="124"/>
      <c r="G57" s="125"/>
      <c r="H57" s="125"/>
      <c r="I57" s="126"/>
      <c r="J57" s="126"/>
      <c r="K57" s="127"/>
      <c r="L57" s="128"/>
      <c r="M57" s="102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</row>
    <row r="58" spans="1:33" ht="13.5" thickBot="1" x14ac:dyDescent="0.25">
      <c r="A58" s="96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3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</row>
    <row r="59" spans="1:33" ht="13.5" thickTop="1" x14ac:dyDescent="0.2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</row>
    <row r="60" spans="1:33" x14ac:dyDescent="0.2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</row>
    <row r="61" spans="1:33" x14ac:dyDescent="0.2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</row>
    <row r="62" spans="1:33" x14ac:dyDescent="0.2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</row>
    <row r="63" spans="1:33" x14ac:dyDescent="0.2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</row>
    <row r="64" spans="1:33" x14ac:dyDescent="0.2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</row>
    <row r="65" spans="1:33" x14ac:dyDescent="0.2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</row>
    <row r="66" spans="1:33" x14ac:dyDescent="0.2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</row>
    <row r="67" spans="1:33" x14ac:dyDescent="0.2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</row>
    <row r="68" spans="1:33" x14ac:dyDescent="0.2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</row>
    <row r="69" spans="1:33" x14ac:dyDescent="0.2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</row>
    <row r="70" spans="1:33" x14ac:dyDescent="0.2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</row>
    <row r="71" spans="1:33" x14ac:dyDescent="0.2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</row>
    <row r="72" spans="1:33" x14ac:dyDescent="0.2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</row>
    <row r="73" spans="1:33" x14ac:dyDescent="0.2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</row>
    <row r="74" spans="1:33" x14ac:dyDescent="0.2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</row>
    <row r="75" spans="1:33" x14ac:dyDescent="0.2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</row>
    <row r="76" spans="1:33" x14ac:dyDescent="0.2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</row>
    <row r="77" spans="1:33" x14ac:dyDescent="0.2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</row>
    <row r="78" spans="1:33" x14ac:dyDescent="0.2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</row>
    <row r="79" spans="1:33" x14ac:dyDescent="0.2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</row>
    <row r="80" spans="1:33" x14ac:dyDescent="0.2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</row>
    <row r="81" spans="1:33" x14ac:dyDescent="0.2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</row>
    <row r="82" spans="1:33" x14ac:dyDescent="0.2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</row>
    <row r="83" spans="1:33" x14ac:dyDescent="0.2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</row>
    <row r="84" spans="1:33" x14ac:dyDescent="0.2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</row>
    <row r="85" spans="1:33" x14ac:dyDescent="0.2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</row>
    <row r="86" spans="1:33" x14ac:dyDescent="0.2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</row>
    <row r="87" spans="1:33" x14ac:dyDescent="0.2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</row>
    <row r="88" spans="1:33" x14ac:dyDescent="0.2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</row>
    <row r="89" spans="1:33" x14ac:dyDescent="0.2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</row>
    <row r="90" spans="1:33" x14ac:dyDescent="0.2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</row>
    <row r="91" spans="1:33" x14ac:dyDescent="0.2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</row>
    <row r="92" spans="1:33" x14ac:dyDescent="0.2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</row>
    <row r="93" spans="1:33" x14ac:dyDescent="0.2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</row>
    <row r="94" spans="1:33" x14ac:dyDescent="0.2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</row>
  </sheetData>
  <sheetProtection algorithmName="SHA-512" hashValue="HESm5bsedRZco9I9hZyN45+W2sile4d97joP/FrN3WiELW3LJHKx2w7+/LX2ufmiczLO7Pz1WMACiClj8vEE5A==" saltValue="X5ZhPM4mPChzV+ssALgr3w==" spinCount="100000" sheet="1" objects="1" scenarios="1"/>
  <mergeCells count="70">
    <mergeCell ref="I35:J35"/>
    <mergeCell ref="G31:H32"/>
    <mergeCell ref="B48:E48"/>
    <mergeCell ref="G48:H48"/>
    <mergeCell ref="I48:J48"/>
    <mergeCell ref="G40:H40"/>
    <mergeCell ref="G44:H44"/>
    <mergeCell ref="I44:J44"/>
    <mergeCell ref="G43:H43"/>
    <mergeCell ref="I40:J40"/>
    <mergeCell ref="G41:H41"/>
    <mergeCell ref="G42:H42"/>
    <mergeCell ref="I43:J43"/>
    <mergeCell ref="I41:J41"/>
    <mergeCell ref="B47:E47"/>
    <mergeCell ref="G47:H47"/>
    <mergeCell ref="B38:E38"/>
    <mergeCell ref="G38:H38"/>
    <mergeCell ref="I38:J38"/>
    <mergeCell ref="I42:J42"/>
    <mergeCell ref="G39:H39"/>
    <mergeCell ref="I39:J39"/>
    <mergeCell ref="B39:E39"/>
    <mergeCell ref="G45:H45"/>
    <mergeCell ref="I45:J45"/>
    <mergeCell ref="B46:E46"/>
    <mergeCell ref="G46:H46"/>
    <mergeCell ref="I46:J46"/>
    <mergeCell ref="I47:J47"/>
    <mergeCell ref="B45:E45"/>
    <mergeCell ref="I31:J32"/>
    <mergeCell ref="B33:E33"/>
    <mergeCell ref="G33:H33"/>
    <mergeCell ref="I33:J33"/>
    <mergeCell ref="G37:H37"/>
    <mergeCell ref="I37:J37"/>
    <mergeCell ref="G34:H34"/>
    <mergeCell ref="I34:J34"/>
    <mergeCell ref="F31:F32"/>
    <mergeCell ref="B37:E37"/>
    <mergeCell ref="B36:E36"/>
    <mergeCell ref="G36:H36"/>
    <mergeCell ref="I36:J36"/>
    <mergeCell ref="B35:E35"/>
    <mergeCell ref="B34:E34"/>
    <mergeCell ref="G35:H35"/>
    <mergeCell ref="B24:E24"/>
    <mergeCell ref="B25:E25"/>
    <mergeCell ref="B26:E26"/>
    <mergeCell ref="B27:E27"/>
    <mergeCell ref="B31:E32"/>
    <mergeCell ref="B28:E28"/>
    <mergeCell ref="B23:E23"/>
    <mergeCell ref="B13:E13"/>
    <mergeCell ref="B14:E14"/>
    <mergeCell ref="B15:E15"/>
    <mergeCell ref="B16:E16"/>
    <mergeCell ref="B18:E18"/>
    <mergeCell ref="B19:E19"/>
    <mergeCell ref="B20:E20"/>
    <mergeCell ref="B21:E21"/>
    <mergeCell ref="B22:E22"/>
    <mergeCell ref="B17:E17"/>
    <mergeCell ref="B6:E6"/>
    <mergeCell ref="L7:L8"/>
    <mergeCell ref="B11:E12"/>
    <mergeCell ref="F11:F12"/>
    <mergeCell ref="G11:H11"/>
    <mergeCell ref="I11:K11"/>
    <mergeCell ref="H6:K6"/>
  </mergeCells>
  <phoneticPr fontId="0" type="noConversion"/>
  <dataValidations count="1">
    <dataValidation type="list" allowBlank="1" showInputMessage="1" showErrorMessage="1" sqref="B8 H8">
      <formula1>Validdates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7"/>
  <sheetViews>
    <sheetView tabSelected="1" zoomScale="130" zoomScaleNormal="130" workbookViewId="0">
      <pane ySplit="3" topLeftCell="A4" activePane="bottomLeft" state="frozen"/>
      <selection activeCell="N12" sqref="N12"/>
      <selection pane="bottomLeft" activeCell="M18" sqref="M18"/>
    </sheetView>
  </sheetViews>
  <sheetFormatPr defaultRowHeight="12.75" x14ac:dyDescent="0.2"/>
  <cols>
    <col min="2" max="2" width="9.7109375" bestFit="1" customWidth="1"/>
    <col min="3" max="3" width="10.7109375" bestFit="1" customWidth="1"/>
    <col min="4" max="4" width="9.85546875" bestFit="1" customWidth="1"/>
    <col min="5" max="5" width="10.85546875" bestFit="1" customWidth="1"/>
  </cols>
  <sheetData>
    <row r="1" spans="1:6" x14ac:dyDescent="0.2">
      <c r="A1" s="1"/>
      <c r="B1" s="1"/>
      <c r="C1" s="1"/>
      <c r="D1" s="1"/>
      <c r="E1" s="1"/>
      <c r="F1" s="1"/>
    </row>
    <row r="2" spans="1:6" ht="18" x14ac:dyDescent="0.25">
      <c r="A2" s="2"/>
      <c r="B2" s="163" t="s">
        <v>0</v>
      </c>
      <c r="C2" s="163"/>
      <c r="D2" s="163"/>
      <c r="E2" s="163"/>
      <c r="F2" s="2"/>
    </row>
    <row r="3" spans="1:6" x14ac:dyDescent="0.2">
      <c r="A3" s="2"/>
      <c r="B3" s="3" t="s">
        <v>1</v>
      </c>
      <c r="C3" s="3" t="s">
        <v>2</v>
      </c>
      <c r="D3" s="3" t="s">
        <v>3</v>
      </c>
      <c r="E3" s="3" t="s">
        <v>4</v>
      </c>
      <c r="F3" s="2"/>
    </row>
    <row r="4" spans="1:6" s="134" customFormat="1" x14ac:dyDescent="0.2">
      <c r="A4" s="2"/>
      <c r="B4" s="4">
        <v>45689</v>
      </c>
      <c r="C4" s="59">
        <v>581.41999999999996</v>
      </c>
      <c r="D4" s="5">
        <v>2.83312106451613</v>
      </c>
      <c r="E4" s="5">
        <v>2.3717205806451598</v>
      </c>
      <c r="F4" s="2"/>
    </row>
    <row r="5" spans="1:6" s="134" customFormat="1" x14ac:dyDescent="0.2">
      <c r="A5" s="2"/>
      <c r="B5" s="4">
        <v>45658</v>
      </c>
      <c r="C5" s="59">
        <v>583.36</v>
      </c>
      <c r="D5" s="5">
        <v>2.5889000000000002</v>
      </c>
      <c r="E5" s="5">
        <v>2.2722224999999998</v>
      </c>
      <c r="F5" s="2"/>
    </row>
    <row r="6" spans="1:6" x14ac:dyDescent="0.2">
      <c r="B6" s="60"/>
      <c r="C6" s="60"/>
      <c r="D6" s="60"/>
      <c r="E6" s="60"/>
    </row>
    <row r="7" spans="1:6" x14ac:dyDescent="0.2">
      <c r="D7" s="70"/>
    </row>
  </sheetData>
  <sheetProtection algorithmName="SHA-512" hashValue="lQesNLve8VfWG5ZzMI+S63xHdQIa5mcWkIcwfDTzLYXyGV4xCuJiCtw1OL0JJpMoHVP+ZbX0BCYv/U3rMMMUqA==" saltValue="LgxKi9UUpmXaDtJuRv0kyA==" spinCount="100000" sheet="1" objects="1" scenarios="1"/>
  <sortState ref="B23:E344">
    <sortCondition descending="1" ref="B23:B344"/>
  </sortState>
  <mergeCells count="1">
    <mergeCell ref="B2:E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10"/>
  <sheetViews>
    <sheetView topLeftCell="A4" zoomScale="130" zoomScaleNormal="130" workbookViewId="0">
      <selection activeCell="F28" sqref="F28"/>
    </sheetView>
  </sheetViews>
  <sheetFormatPr defaultRowHeight="12.75" x14ac:dyDescent="0.2"/>
  <cols>
    <col min="3" max="4" width="9.7109375" customWidth="1"/>
    <col min="5" max="7" width="11.7109375" customWidth="1"/>
  </cols>
  <sheetData>
    <row r="1" spans="1:9" x14ac:dyDescent="0.2">
      <c r="A1" s="8"/>
      <c r="B1" s="9"/>
      <c r="C1" s="9"/>
      <c r="D1" s="9"/>
      <c r="E1" s="9"/>
      <c r="F1" s="9"/>
      <c r="G1" s="9"/>
      <c r="H1" s="8"/>
      <c r="I1" s="8"/>
    </row>
    <row r="2" spans="1:9" ht="13.5" thickBot="1" x14ac:dyDescent="0.25">
      <c r="A2" s="8"/>
      <c r="B2" s="9"/>
      <c r="C2" s="9"/>
      <c r="D2" s="9"/>
      <c r="E2" s="9"/>
      <c r="F2" s="9"/>
      <c r="G2" s="9"/>
      <c r="H2" s="8"/>
      <c r="I2" s="8"/>
    </row>
    <row r="3" spans="1:9" ht="15.75" x14ac:dyDescent="0.25">
      <c r="A3" s="8"/>
      <c r="B3" s="171" t="s">
        <v>37</v>
      </c>
      <c r="C3" s="172"/>
      <c r="D3" s="172"/>
      <c r="E3" s="172"/>
      <c r="F3" s="172"/>
      <c r="G3" s="173"/>
      <c r="H3" s="8"/>
      <c r="I3" s="8"/>
    </row>
    <row r="4" spans="1:9" x14ac:dyDescent="0.2">
      <c r="A4" s="8"/>
      <c r="B4" s="10"/>
      <c r="C4" s="11"/>
      <c r="D4" s="11"/>
      <c r="E4" s="11"/>
      <c r="F4" s="11"/>
      <c r="G4" s="12"/>
      <c r="H4" s="8"/>
      <c r="I4" s="8"/>
    </row>
    <row r="5" spans="1:9" x14ac:dyDescent="0.2">
      <c r="A5" s="8"/>
      <c r="B5" s="10"/>
      <c r="C5" s="174" t="s">
        <v>38</v>
      </c>
      <c r="D5" s="175"/>
      <c r="E5" s="13">
        <f>DieselBase</f>
        <v>2.83312106451613</v>
      </c>
      <c r="F5" s="11"/>
      <c r="G5" s="12"/>
      <c r="H5" s="8"/>
      <c r="I5" s="8"/>
    </row>
    <row r="6" spans="1:9" x14ac:dyDescent="0.2">
      <c r="A6" s="8"/>
      <c r="B6" s="10"/>
      <c r="C6" s="178" t="s">
        <v>39</v>
      </c>
      <c r="D6" s="179"/>
      <c r="E6" s="14">
        <f>DieselCurrent</f>
        <v>2.83312106451613</v>
      </c>
      <c r="F6" s="11"/>
      <c r="G6" s="12"/>
      <c r="H6" s="8"/>
      <c r="I6" s="8"/>
    </row>
    <row r="7" spans="1:9" x14ac:dyDescent="0.2">
      <c r="A7" s="8"/>
      <c r="B7" s="10"/>
      <c r="C7" s="176" t="s">
        <v>40</v>
      </c>
      <c r="D7" s="177"/>
      <c r="E7" s="15">
        <f>VLOOKUP(E6,E12:G51,3)</f>
        <v>0</v>
      </c>
      <c r="F7" s="11"/>
      <c r="G7" s="12"/>
      <c r="H7" s="8"/>
      <c r="I7" s="8"/>
    </row>
    <row r="8" spans="1:9" x14ac:dyDescent="0.2">
      <c r="A8" s="8"/>
      <c r="B8" s="10"/>
      <c r="C8" s="11"/>
      <c r="D8" s="11"/>
      <c r="E8" s="11"/>
      <c r="F8" s="11"/>
      <c r="G8" s="12"/>
      <c r="H8" s="8"/>
      <c r="I8" s="8"/>
    </row>
    <row r="9" spans="1:9" x14ac:dyDescent="0.2">
      <c r="A9" s="8"/>
      <c r="B9" s="10"/>
      <c r="C9" s="11"/>
      <c r="D9" s="11"/>
      <c r="E9" s="11"/>
      <c r="F9" s="11"/>
      <c r="G9" s="12"/>
      <c r="H9" s="8"/>
      <c r="I9" s="8"/>
    </row>
    <row r="10" spans="1:9" x14ac:dyDescent="0.2">
      <c r="A10" s="8"/>
      <c r="B10" s="10"/>
      <c r="C10" s="11"/>
      <c r="D10" s="11"/>
      <c r="E10" s="11"/>
      <c r="F10" s="11"/>
      <c r="G10" s="12"/>
      <c r="H10" s="8"/>
      <c r="I10" s="8"/>
    </row>
    <row r="11" spans="1:9" ht="13.5" thickBot="1" x14ac:dyDescent="0.25">
      <c r="A11" s="8"/>
      <c r="B11" s="10"/>
      <c r="C11" s="11"/>
      <c r="D11" s="11"/>
      <c r="E11" s="11"/>
      <c r="F11" s="11"/>
      <c r="G11" s="12"/>
      <c r="H11" s="8"/>
      <c r="I11" s="8"/>
    </row>
    <row r="12" spans="1:9" x14ac:dyDescent="0.2">
      <c r="A12" s="8"/>
      <c r="B12" s="164" t="s">
        <v>41</v>
      </c>
      <c r="C12" s="48">
        <v>90</v>
      </c>
      <c r="D12" s="16">
        <v>100</v>
      </c>
      <c r="E12" s="37">
        <f>0*DieselBase</f>
        <v>0</v>
      </c>
      <c r="F12" s="17">
        <f>0.1*DieselBase-0.0001</f>
        <v>0.28321210645161304</v>
      </c>
      <c r="G12" s="18">
        <f>-0.9*DieselBase</f>
        <v>-2.5498089580645171</v>
      </c>
      <c r="H12" s="8"/>
      <c r="I12" s="8"/>
    </row>
    <row r="13" spans="1:9" x14ac:dyDescent="0.2">
      <c r="A13" s="8"/>
      <c r="B13" s="165"/>
      <c r="C13" s="49">
        <v>80</v>
      </c>
      <c r="D13" s="19">
        <v>90</v>
      </c>
      <c r="E13" s="39">
        <f>0.1*DieselBase</f>
        <v>0.28331210645161303</v>
      </c>
      <c r="F13" s="20">
        <f>0.2*DieselBase-0.0001</f>
        <v>0.56652421290322608</v>
      </c>
      <c r="G13" s="21">
        <f>-0.8*DieselBase</f>
        <v>-2.2664968516129043</v>
      </c>
      <c r="H13" s="8"/>
      <c r="I13" s="8"/>
    </row>
    <row r="14" spans="1:9" x14ac:dyDescent="0.2">
      <c r="A14" s="8"/>
      <c r="B14" s="165"/>
      <c r="C14" s="49">
        <v>70</v>
      </c>
      <c r="D14" s="19">
        <v>80</v>
      </c>
      <c r="E14" s="39">
        <f>0.2*DieselBase</f>
        <v>0.56662421290322607</v>
      </c>
      <c r="F14" s="20">
        <f>0.3*DieselBase-0.0001</f>
        <v>0.84983631935483894</v>
      </c>
      <c r="G14" s="21">
        <f>-0.7*DieselBase</f>
        <v>-1.983184745161291</v>
      </c>
      <c r="H14" s="8"/>
      <c r="I14" s="8" t="s">
        <v>81</v>
      </c>
    </row>
    <row r="15" spans="1:9" x14ac:dyDescent="0.2">
      <c r="A15" s="8"/>
      <c r="B15" s="165"/>
      <c r="C15" s="49">
        <v>60</v>
      </c>
      <c r="D15" s="19">
        <v>70</v>
      </c>
      <c r="E15" s="39">
        <f>0.3*DieselBase</f>
        <v>0.84993631935483893</v>
      </c>
      <c r="F15" s="20">
        <f>0.4*DieselBase-0.0001</f>
        <v>1.1331484258064521</v>
      </c>
      <c r="G15" s="21">
        <f>-0.6*DieselBase</f>
        <v>-1.6998726387096779</v>
      </c>
      <c r="H15" s="8"/>
      <c r="I15" s="8"/>
    </row>
    <row r="16" spans="1:9" x14ac:dyDescent="0.2">
      <c r="A16" s="8"/>
      <c r="B16" s="165"/>
      <c r="C16" s="49">
        <v>50</v>
      </c>
      <c r="D16" s="19">
        <v>60</v>
      </c>
      <c r="E16" s="39">
        <f>0.4*DieselBase</f>
        <v>1.1332484258064521</v>
      </c>
      <c r="F16" s="20">
        <f>0.5*DieselBase-0.0001</f>
        <v>1.416460532258065</v>
      </c>
      <c r="G16" s="21">
        <f>-0.5*DieselBase</f>
        <v>-1.416560532258065</v>
      </c>
      <c r="H16" s="8"/>
      <c r="I16" s="8"/>
    </row>
    <row r="17" spans="1:9" x14ac:dyDescent="0.2">
      <c r="A17" s="8"/>
      <c r="B17" s="165"/>
      <c r="C17" s="49">
        <v>40</v>
      </c>
      <c r="D17" s="19">
        <v>50</v>
      </c>
      <c r="E17" s="39">
        <f>0.5*DieselBase</f>
        <v>1.416560532258065</v>
      </c>
      <c r="F17" s="20">
        <f>0.6*DieselBase-0.0001</f>
        <v>1.6997726387096779</v>
      </c>
      <c r="G17" s="21">
        <f>-0.4*DieselBase</f>
        <v>-1.1332484258064521</v>
      </c>
      <c r="H17" s="8"/>
      <c r="I17" s="8"/>
    </row>
    <row r="18" spans="1:9" x14ac:dyDescent="0.2">
      <c r="A18" s="8"/>
      <c r="B18" s="165"/>
      <c r="C18" s="49">
        <v>30</v>
      </c>
      <c r="D18" s="19">
        <v>40</v>
      </c>
      <c r="E18" s="39">
        <f>0.6*DieselBase</f>
        <v>1.6998726387096779</v>
      </c>
      <c r="F18" s="20">
        <f>0.7*DieselBase-0.0001</f>
        <v>1.983084745161291</v>
      </c>
      <c r="G18" s="21">
        <f>-0.3*DieselBase</f>
        <v>-0.84993631935483893</v>
      </c>
      <c r="H18" s="8"/>
      <c r="I18" s="8"/>
    </row>
    <row r="19" spans="1:9" x14ac:dyDescent="0.2">
      <c r="A19" s="8"/>
      <c r="B19" s="165"/>
      <c r="C19" s="49">
        <v>20</v>
      </c>
      <c r="D19" s="19">
        <v>30</v>
      </c>
      <c r="E19" s="39">
        <f>0.7*DieselBase</f>
        <v>1.983184745161291</v>
      </c>
      <c r="F19" s="20">
        <f>0.8*DieselBase-0.0001</f>
        <v>2.2663968516129041</v>
      </c>
      <c r="G19" s="21">
        <f>-0.2*DieselBase</f>
        <v>-0.56662421290322607</v>
      </c>
      <c r="H19" s="8"/>
      <c r="I19" s="8"/>
    </row>
    <row r="20" spans="1:9" x14ac:dyDescent="0.2">
      <c r="A20" s="8"/>
      <c r="B20" s="165"/>
      <c r="C20" s="49">
        <v>10</v>
      </c>
      <c r="D20" s="19">
        <v>20</v>
      </c>
      <c r="E20" s="39">
        <f>0.8*DieselBase</f>
        <v>2.2664968516129043</v>
      </c>
      <c r="F20" s="20">
        <f>0.9*DieselBase-0.0001</f>
        <v>2.5497089580645169</v>
      </c>
      <c r="G20" s="21">
        <f>-0.1*DieselBase</f>
        <v>-0.28331210645161303</v>
      </c>
      <c r="H20" s="8"/>
      <c r="I20" s="8"/>
    </row>
    <row r="21" spans="1:9" x14ac:dyDescent="0.2">
      <c r="A21" s="8"/>
      <c r="B21" s="169"/>
      <c r="C21" s="50">
        <v>0</v>
      </c>
      <c r="D21" s="40">
        <v>10</v>
      </c>
      <c r="E21" s="41">
        <f>0.9*DieselBase</f>
        <v>2.5498089580645171</v>
      </c>
      <c r="F21" s="42">
        <f>1*DieselBase-0.0001</f>
        <v>2.8330210645161298</v>
      </c>
      <c r="G21" s="43">
        <f>0*DieselBase</f>
        <v>0</v>
      </c>
      <c r="H21" s="8"/>
      <c r="I21" s="8"/>
    </row>
    <row r="22" spans="1:9" x14ac:dyDescent="0.2">
      <c r="A22" s="8"/>
      <c r="B22" s="170" t="s">
        <v>42</v>
      </c>
      <c r="C22" s="51">
        <v>0</v>
      </c>
      <c r="D22" s="44">
        <v>10</v>
      </c>
      <c r="E22" s="45">
        <f>1*DieselBase</f>
        <v>2.83312106451613</v>
      </c>
      <c r="F22" s="46">
        <f>1.1*DieselBase</f>
        <v>3.1164331709677433</v>
      </c>
      <c r="G22" s="47">
        <f>0*DieselBase</f>
        <v>0</v>
      </c>
      <c r="H22" s="8"/>
      <c r="I22" s="8"/>
    </row>
    <row r="23" spans="1:9" x14ac:dyDescent="0.2">
      <c r="A23" s="8"/>
      <c r="B23" s="165"/>
      <c r="C23" s="49">
        <v>10</v>
      </c>
      <c r="D23" s="19">
        <v>20</v>
      </c>
      <c r="E23" s="38">
        <f>1.1*DieselBase+0.0001</f>
        <v>3.1165331709677435</v>
      </c>
      <c r="F23" s="20">
        <f>1.2*DieselBase</f>
        <v>3.3997452774193557</v>
      </c>
      <c r="G23" s="21">
        <f>0.1*DieselBase</f>
        <v>0.28331210645161303</v>
      </c>
      <c r="H23" s="8"/>
      <c r="I23" s="8"/>
    </row>
    <row r="24" spans="1:9" x14ac:dyDescent="0.2">
      <c r="A24" s="8"/>
      <c r="B24" s="165"/>
      <c r="C24" s="49">
        <v>20</v>
      </c>
      <c r="D24" s="19">
        <v>30</v>
      </c>
      <c r="E24" s="38">
        <f>1.2*DieselBase+0.0001</f>
        <v>3.3998452774193559</v>
      </c>
      <c r="F24" s="20">
        <f>1.3*DieselBase</f>
        <v>3.683057383870969</v>
      </c>
      <c r="G24" s="21">
        <f>0.2*DieselBase</f>
        <v>0.56662421290322607</v>
      </c>
      <c r="H24" s="8"/>
      <c r="I24" s="8"/>
    </row>
    <row r="25" spans="1:9" x14ac:dyDescent="0.2">
      <c r="A25" s="8"/>
      <c r="B25" s="165"/>
      <c r="C25" s="49">
        <v>30</v>
      </c>
      <c r="D25" s="19">
        <v>40</v>
      </c>
      <c r="E25" s="38">
        <f>1.3*DieselBase+0.0001</f>
        <v>3.6831573838709692</v>
      </c>
      <c r="F25" s="20">
        <f>1.4*DieselBase</f>
        <v>3.9663694903225819</v>
      </c>
      <c r="G25" s="21">
        <f>0.3*DieselBase</f>
        <v>0.84993631935483893</v>
      </c>
      <c r="H25" s="8"/>
      <c r="I25" s="8"/>
    </row>
    <row r="26" spans="1:9" x14ac:dyDescent="0.2">
      <c r="A26" s="8"/>
      <c r="B26" s="165"/>
      <c r="C26" s="49">
        <v>40</v>
      </c>
      <c r="D26" s="19">
        <v>50</v>
      </c>
      <c r="E26" s="38">
        <f>1.4*DieselBase+0.0001</f>
        <v>3.9664694903225821</v>
      </c>
      <c r="F26" s="20">
        <f>1.5*DieselBase</f>
        <v>4.2496815967741952</v>
      </c>
      <c r="G26" s="21">
        <f>0.4*DieselBase</f>
        <v>1.1332484258064521</v>
      </c>
      <c r="H26" s="8"/>
      <c r="I26" s="8"/>
    </row>
    <row r="27" spans="1:9" x14ac:dyDescent="0.2">
      <c r="A27" s="8"/>
      <c r="B27" s="165"/>
      <c r="C27" s="49">
        <v>50</v>
      </c>
      <c r="D27" s="19">
        <v>60</v>
      </c>
      <c r="E27" s="38">
        <f>1.5*DieselBase+0.0001</f>
        <v>4.249781596774195</v>
      </c>
      <c r="F27" s="20">
        <f>1.6*DieselBase</f>
        <v>4.5329937032258085</v>
      </c>
      <c r="G27" s="21">
        <f>0.5*DieselBase</f>
        <v>1.416560532258065</v>
      </c>
      <c r="H27" s="8"/>
      <c r="I27" s="8"/>
    </row>
    <row r="28" spans="1:9" x14ac:dyDescent="0.2">
      <c r="A28" s="8"/>
      <c r="B28" s="165"/>
      <c r="C28" s="49">
        <v>60</v>
      </c>
      <c r="D28" s="19">
        <v>70</v>
      </c>
      <c r="E28" s="38">
        <f>1.6*DieselBase+0.0001</f>
        <v>4.5330937032258083</v>
      </c>
      <c r="F28" s="20">
        <f>1.7*DieselBase</f>
        <v>4.8163058096774209</v>
      </c>
      <c r="G28" s="21">
        <f>0.6*DieselBase</f>
        <v>1.6998726387096779</v>
      </c>
      <c r="H28" s="8"/>
      <c r="I28" s="8"/>
    </row>
    <row r="29" spans="1:9" x14ac:dyDescent="0.2">
      <c r="A29" s="8"/>
      <c r="B29" s="165"/>
      <c r="C29" s="49">
        <v>70</v>
      </c>
      <c r="D29" s="19">
        <v>80</v>
      </c>
      <c r="E29" s="38">
        <f>1.7*DieselBase+0.0001</f>
        <v>4.8164058096774207</v>
      </c>
      <c r="F29" s="20">
        <f>1.8*DieselBase</f>
        <v>5.0996179161290343</v>
      </c>
      <c r="G29" s="21">
        <f>0.7*DieselBase</f>
        <v>1.983184745161291</v>
      </c>
      <c r="H29" s="8"/>
      <c r="I29" s="8"/>
    </row>
    <row r="30" spans="1:9" x14ac:dyDescent="0.2">
      <c r="A30" s="8"/>
      <c r="B30" s="165"/>
      <c r="C30" s="49">
        <v>80</v>
      </c>
      <c r="D30" s="19">
        <v>90</v>
      </c>
      <c r="E30" s="38">
        <f>1.8*DieselBase+0.0001</f>
        <v>5.099717916129034</v>
      </c>
      <c r="F30" s="20">
        <f>1.9*DieselBase</f>
        <v>5.3829300225806467</v>
      </c>
      <c r="G30" s="21">
        <f>0.8*DieselBase</f>
        <v>2.2664968516129043</v>
      </c>
      <c r="H30" s="8"/>
      <c r="I30" s="8"/>
    </row>
    <row r="31" spans="1:9" x14ac:dyDescent="0.2">
      <c r="A31" s="8"/>
      <c r="B31" s="165"/>
      <c r="C31" s="49">
        <v>90</v>
      </c>
      <c r="D31" s="19">
        <v>100</v>
      </c>
      <c r="E31" s="38">
        <f>1.9*DieselBase+0.0001</f>
        <v>5.3830300225806464</v>
      </c>
      <c r="F31" s="20">
        <f>2*DieselBase</f>
        <v>5.66624212903226</v>
      </c>
      <c r="G31" s="21">
        <f>0.9*DieselBase</f>
        <v>2.5498089580645171</v>
      </c>
      <c r="H31" s="8"/>
      <c r="I31" s="8"/>
    </row>
    <row r="32" spans="1:9" x14ac:dyDescent="0.2">
      <c r="A32" s="8"/>
      <c r="B32" s="165"/>
      <c r="C32" s="49">
        <v>100</v>
      </c>
      <c r="D32" s="19">
        <v>110</v>
      </c>
      <c r="E32" s="38">
        <f>2*DieselBase+0.0001</f>
        <v>5.6663421290322598</v>
      </c>
      <c r="F32" s="20">
        <f>2.1*DieselBase</f>
        <v>5.9495542354838733</v>
      </c>
      <c r="G32" s="21">
        <f>1*DieselBase</f>
        <v>2.83312106451613</v>
      </c>
      <c r="H32" s="8"/>
      <c r="I32" s="8"/>
    </row>
    <row r="33" spans="1:9" x14ac:dyDescent="0.2">
      <c r="A33" s="8"/>
      <c r="B33" s="165"/>
      <c r="C33" s="49">
        <v>110</v>
      </c>
      <c r="D33" s="19">
        <v>120</v>
      </c>
      <c r="E33" s="38">
        <f>2.1*DieselBase+0.0001</f>
        <v>5.9496542354838731</v>
      </c>
      <c r="F33" s="20">
        <f>2.2*DieselBase</f>
        <v>6.2328663419354866</v>
      </c>
      <c r="G33" s="21">
        <f>1.1*DieselBase</f>
        <v>3.1164331709677433</v>
      </c>
      <c r="H33" s="8"/>
      <c r="I33" s="8"/>
    </row>
    <row r="34" spans="1:9" x14ac:dyDescent="0.2">
      <c r="A34" s="8"/>
      <c r="B34" s="165"/>
      <c r="C34" s="49">
        <v>120</v>
      </c>
      <c r="D34" s="19">
        <v>130</v>
      </c>
      <c r="E34" s="38">
        <f>2.2*DieselBase+0.0001</f>
        <v>6.2329663419354864</v>
      </c>
      <c r="F34" s="20">
        <f>2.3*DieselBase</f>
        <v>6.5161784483870981</v>
      </c>
      <c r="G34" s="21">
        <f>1.2*DieselBase</f>
        <v>3.3997452774193557</v>
      </c>
      <c r="H34" s="8"/>
      <c r="I34" s="8"/>
    </row>
    <row r="35" spans="1:9" x14ac:dyDescent="0.2">
      <c r="A35" s="8"/>
      <c r="B35" s="165"/>
      <c r="C35" s="49">
        <v>130</v>
      </c>
      <c r="D35" s="19">
        <v>140</v>
      </c>
      <c r="E35" s="38">
        <f>2.3*DieselBase+0.0001</f>
        <v>6.5162784483870979</v>
      </c>
      <c r="F35" s="20">
        <f>2.4*DieselBase</f>
        <v>6.7994905548387115</v>
      </c>
      <c r="G35" s="21">
        <f>1.3*DieselBase</f>
        <v>3.683057383870969</v>
      </c>
      <c r="H35" s="8"/>
      <c r="I35" s="8"/>
    </row>
    <row r="36" spans="1:9" x14ac:dyDescent="0.2">
      <c r="A36" s="8"/>
      <c r="B36" s="165"/>
      <c r="C36" s="49">
        <v>140</v>
      </c>
      <c r="D36" s="19">
        <v>150</v>
      </c>
      <c r="E36" s="38">
        <f>2.4*DieselBase+0.0001</f>
        <v>6.7995905548387112</v>
      </c>
      <c r="F36" s="20">
        <f>2.5*DieselBase</f>
        <v>7.0828026612903248</v>
      </c>
      <c r="G36" s="21">
        <f>1.4*DieselBase</f>
        <v>3.9663694903225819</v>
      </c>
      <c r="H36" s="8"/>
      <c r="I36" s="8"/>
    </row>
    <row r="37" spans="1:9" x14ac:dyDescent="0.2">
      <c r="A37" s="8"/>
      <c r="B37" s="165"/>
      <c r="C37" s="49">
        <v>150</v>
      </c>
      <c r="D37" s="19">
        <v>160</v>
      </c>
      <c r="E37" s="38">
        <f>2.5*DieselBase+0.0001</f>
        <v>7.0829026612903245</v>
      </c>
      <c r="F37" s="20">
        <f>2.6*DieselBase</f>
        <v>7.3661147677419381</v>
      </c>
      <c r="G37" s="21">
        <f>1.5*DieselBase</f>
        <v>4.2496815967741952</v>
      </c>
      <c r="H37" s="8"/>
      <c r="I37" s="8"/>
    </row>
    <row r="38" spans="1:9" x14ac:dyDescent="0.2">
      <c r="A38" s="8"/>
      <c r="B38" s="165"/>
      <c r="C38" s="49">
        <v>160</v>
      </c>
      <c r="D38" s="19">
        <v>170</v>
      </c>
      <c r="E38" s="38">
        <f>2.6*DieselBase+0.0001</f>
        <v>7.3662147677419378</v>
      </c>
      <c r="F38" s="20">
        <f>2.7*DieselBase</f>
        <v>7.6494268741935514</v>
      </c>
      <c r="G38" s="21">
        <f>1.6*DieselBase</f>
        <v>4.5329937032258085</v>
      </c>
      <c r="H38" s="8"/>
      <c r="I38" s="8"/>
    </row>
    <row r="39" spans="1:9" x14ac:dyDescent="0.2">
      <c r="A39" s="8"/>
      <c r="B39" s="165"/>
      <c r="C39" s="49">
        <v>170</v>
      </c>
      <c r="D39" s="19">
        <v>180</v>
      </c>
      <c r="E39" s="38">
        <f>2.7*DieselBase+0.0001</f>
        <v>7.6495268741935512</v>
      </c>
      <c r="F39" s="20">
        <f>2.8*DieselBase</f>
        <v>7.9327389806451638</v>
      </c>
      <c r="G39" s="21">
        <f>1.7*DieselBase</f>
        <v>4.8163058096774209</v>
      </c>
      <c r="H39" s="8"/>
      <c r="I39" s="8"/>
    </row>
    <row r="40" spans="1:9" x14ac:dyDescent="0.2">
      <c r="A40" s="8"/>
      <c r="B40" s="165"/>
      <c r="C40" s="49">
        <v>180</v>
      </c>
      <c r="D40" s="19">
        <v>190</v>
      </c>
      <c r="E40" s="38">
        <f>2.8*DieselBase+0.0001</f>
        <v>7.9328389806451636</v>
      </c>
      <c r="F40" s="20">
        <f>2.9*DieselBase</f>
        <v>8.2160510870967762</v>
      </c>
      <c r="G40" s="21">
        <f>1.8*DieselBase</f>
        <v>5.0996179161290343</v>
      </c>
      <c r="H40" s="8"/>
      <c r="I40" s="8"/>
    </row>
    <row r="41" spans="1:9" x14ac:dyDescent="0.2">
      <c r="A41" s="8"/>
      <c r="B41" s="165"/>
      <c r="C41" s="49">
        <v>190</v>
      </c>
      <c r="D41" s="19">
        <v>200</v>
      </c>
      <c r="E41" s="38">
        <f>2.9*DieselBase+0.0001</f>
        <v>8.216151087096776</v>
      </c>
      <c r="F41" s="20">
        <f>3*DieselBase</f>
        <v>8.4993631935483904</v>
      </c>
      <c r="G41" s="21">
        <f>1.9*DieselBase</f>
        <v>5.3829300225806467</v>
      </c>
      <c r="H41" s="8"/>
      <c r="I41" s="8"/>
    </row>
    <row r="42" spans="1:9" x14ac:dyDescent="0.2">
      <c r="A42" s="8"/>
      <c r="B42" s="165"/>
      <c r="C42" s="49">
        <v>200</v>
      </c>
      <c r="D42" s="19">
        <v>210</v>
      </c>
      <c r="E42" s="38">
        <f>3*DieselBase+0.0001</f>
        <v>8.4994631935483902</v>
      </c>
      <c r="F42" s="20">
        <f>3.1*DieselBase</f>
        <v>8.7826753000000028</v>
      </c>
      <c r="G42" s="21">
        <f>2*DieselBase</f>
        <v>5.66624212903226</v>
      </c>
      <c r="H42" s="8"/>
      <c r="I42" s="8"/>
    </row>
    <row r="43" spans="1:9" x14ac:dyDescent="0.2">
      <c r="A43" s="8"/>
      <c r="B43" s="165"/>
      <c r="C43" s="49">
        <v>210</v>
      </c>
      <c r="D43" s="19">
        <v>220</v>
      </c>
      <c r="E43" s="38">
        <f>3.1*DieselBase+0.0001</f>
        <v>8.7827753000000026</v>
      </c>
      <c r="F43" s="20">
        <f>3.2*DieselBase</f>
        <v>9.065987406451617</v>
      </c>
      <c r="G43" s="21">
        <f>2.1*DieselBase</f>
        <v>5.9495542354838733</v>
      </c>
      <c r="H43" s="8"/>
      <c r="I43" s="8"/>
    </row>
    <row r="44" spans="1:9" x14ac:dyDescent="0.2">
      <c r="A44" s="8"/>
      <c r="B44" s="165"/>
      <c r="C44" s="49">
        <v>220</v>
      </c>
      <c r="D44" s="19">
        <v>230</v>
      </c>
      <c r="E44" s="38">
        <f>3.2*DieselBase+0.0001</f>
        <v>9.0660874064516168</v>
      </c>
      <c r="F44" s="20">
        <f>3.3*DieselBase</f>
        <v>9.3492995129032277</v>
      </c>
      <c r="G44" s="21">
        <f>2.2*DieselBase</f>
        <v>6.2328663419354866</v>
      </c>
      <c r="H44" s="8"/>
      <c r="I44" s="8"/>
    </row>
    <row r="45" spans="1:9" x14ac:dyDescent="0.2">
      <c r="A45" s="8"/>
      <c r="B45" s="165"/>
      <c r="C45" s="49">
        <v>230</v>
      </c>
      <c r="D45" s="19">
        <v>240</v>
      </c>
      <c r="E45" s="38">
        <f>3.3*DieselBase+0.0001</f>
        <v>9.3493995129032275</v>
      </c>
      <c r="F45" s="20">
        <f>3.4*DieselBase</f>
        <v>9.6326116193548419</v>
      </c>
      <c r="G45" s="21">
        <f>2.3*DieselBase</f>
        <v>6.5161784483870981</v>
      </c>
      <c r="H45" s="8"/>
      <c r="I45" s="8"/>
    </row>
    <row r="46" spans="1:9" x14ac:dyDescent="0.2">
      <c r="A46" s="8"/>
      <c r="B46" s="165"/>
      <c r="C46" s="49">
        <v>240</v>
      </c>
      <c r="D46" s="19">
        <v>250</v>
      </c>
      <c r="E46" s="38">
        <f>3.4*DieselBase+0.0001</f>
        <v>9.6327116193548417</v>
      </c>
      <c r="F46" s="20">
        <f>3.5*DieselBase</f>
        <v>9.9159237258064543</v>
      </c>
      <c r="G46" s="21">
        <f>2.4*DieselBase</f>
        <v>6.7994905548387115</v>
      </c>
      <c r="H46" s="8"/>
      <c r="I46" s="8"/>
    </row>
    <row r="47" spans="1:9" x14ac:dyDescent="0.2">
      <c r="A47" s="8"/>
      <c r="B47" s="165"/>
      <c r="C47" s="49">
        <v>250</v>
      </c>
      <c r="D47" s="19">
        <v>260</v>
      </c>
      <c r="E47" s="38">
        <f>3.5*DieselBase+0.0001</f>
        <v>9.9160237258064541</v>
      </c>
      <c r="F47" s="20">
        <f>3.6*DieselBase</f>
        <v>10.199235832258069</v>
      </c>
      <c r="G47" s="21">
        <f>2.5*DieselBase</f>
        <v>7.0828026612903248</v>
      </c>
      <c r="H47" s="8"/>
      <c r="I47" s="8"/>
    </row>
    <row r="48" spans="1:9" x14ac:dyDescent="0.2">
      <c r="A48" s="8"/>
      <c r="B48" s="165"/>
      <c r="C48" s="49">
        <v>260</v>
      </c>
      <c r="D48" s="19">
        <v>270</v>
      </c>
      <c r="E48" s="38">
        <f>3.6*DieselBase+0.0001</f>
        <v>10.199335832258068</v>
      </c>
      <c r="F48" s="20">
        <f>3.7*DieselBase</f>
        <v>10.482547938709681</v>
      </c>
      <c r="G48" s="21">
        <f>2.6*DieselBase</f>
        <v>7.3661147677419381</v>
      </c>
      <c r="H48" s="8"/>
      <c r="I48" s="8"/>
    </row>
    <row r="49" spans="1:9" x14ac:dyDescent="0.2">
      <c r="A49" s="8"/>
      <c r="B49" s="165"/>
      <c r="C49" s="49">
        <v>270</v>
      </c>
      <c r="D49" s="19">
        <v>280</v>
      </c>
      <c r="E49" s="38">
        <f>3.7*DieselBase+0.0001</f>
        <v>10.482647938709681</v>
      </c>
      <c r="F49" s="20">
        <f>3.8*DieselBase</f>
        <v>10.765860045161293</v>
      </c>
      <c r="G49" s="21">
        <f>2.7*DieselBase</f>
        <v>7.6494268741935514</v>
      </c>
      <c r="H49" s="8"/>
      <c r="I49" s="8"/>
    </row>
    <row r="50" spans="1:9" x14ac:dyDescent="0.2">
      <c r="A50" s="8"/>
      <c r="B50" s="165"/>
      <c r="C50" s="49">
        <v>280</v>
      </c>
      <c r="D50" s="19">
        <v>290</v>
      </c>
      <c r="E50" s="38">
        <f>3.8*DieselBase+0.0001</f>
        <v>10.765960045161293</v>
      </c>
      <c r="F50" s="20">
        <f>3.9*DieselBase</f>
        <v>11.049172151612908</v>
      </c>
      <c r="G50" s="21">
        <f>2.8*DieselBase</f>
        <v>7.9327389806451638</v>
      </c>
      <c r="H50" s="8"/>
      <c r="I50" s="8"/>
    </row>
    <row r="51" spans="1:9" ht="13.5" thickBot="1" x14ac:dyDescent="0.25">
      <c r="A51" s="8"/>
      <c r="B51" s="168"/>
      <c r="C51" s="52">
        <v>290</v>
      </c>
      <c r="D51" s="22">
        <v>300</v>
      </c>
      <c r="E51" s="53">
        <f>3.9*DieselBase+0.0001</f>
        <v>11.049272151612907</v>
      </c>
      <c r="F51" s="23">
        <f>4*DieselBase</f>
        <v>11.33248425806452</v>
      </c>
      <c r="G51" s="24">
        <f>2.9*DieselBase</f>
        <v>8.2160510870967762</v>
      </c>
      <c r="H51" s="8"/>
      <c r="I51" s="8"/>
    </row>
    <row r="52" spans="1:9" x14ac:dyDescent="0.2">
      <c r="A52" s="8"/>
      <c r="B52" s="25"/>
      <c r="C52" s="26"/>
      <c r="D52" s="26"/>
      <c r="E52" s="27"/>
      <c r="F52" s="27"/>
      <c r="G52" s="27"/>
      <c r="H52" s="8"/>
      <c r="I52" s="8"/>
    </row>
    <row r="53" spans="1:9" x14ac:dyDescent="0.2">
      <c r="A53" s="8"/>
      <c r="B53" s="25"/>
      <c r="C53" s="26"/>
      <c r="D53" s="26"/>
      <c r="E53" s="27"/>
      <c r="F53" s="27"/>
      <c r="G53" s="27"/>
      <c r="H53" s="8"/>
      <c r="I53" s="8"/>
    </row>
    <row r="54" spans="1:9" x14ac:dyDescent="0.2">
      <c r="A54" s="8"/>
      <c r="B54" s="25"/>
      <c r="C54" s="26"/>
      <c r="D54" s="26"/>
      <c r="E54" s="27"/>
      <c r="F54" s="27"/>
      <c r="G54" s="27"/>
      <c r="H54" s="8"/>
      <c r="I54" s="8"/>
    </row>
    <row r="55" spans="1:9" x14ac:dyDescent="0.2">
      <c r="A55" s="8"/>
      <c r="B55" s="25"/>
      <c r="C55" s="26"/>
      <c r="D55" s="26"/>
      <c r="E55" s="27"/>
      <c r="F55" s="27"/>
      <c r="G55" s="27"/>
      <c r="H55" s="8"/>
      <c r="I55" s="8"/>
    </row>
    <row r="56" spans="1:9" x14ac:dyDescent="0.2">
      <c r="A56" s="8"/>
      <c r="B56" s="9"/>
      <c r="C56" s="9"/>
      <c r="D56" s="9"/>
      <c r="E56" s="9"/>
      <c r="F56" s="9"/>
      <c r="G56" s="9"/>
      <c r="H56" s="8"/>
      <c r="I56" s="8"/>
    </row>
    <row r="57" spans="1:9" ht="13.5" thickBot="1" x14ac:dyDescent="0.25">
      <c r="A57" s="8"/>
      <c r="B57" s="9"/>
      <c r="C57" s="9"/>
      <c r="D57" s="9"/>
      <c r="E57" s="9"/>
      <c r="F57" s="9"/>
      <c r="G57" s="9"/>
      <c r="H57" s="8"/>
      <c r="I57" s="8"/>
    </row>
    <row r="58" spans="1:9" ht="15.75" x14ac:dyDescent="0.25">
      <c r="A58" s="8"/>
      <c r="B58" s="171" t="s">
        <v>43</v>
      </c>
      <c r="C58" s="172"/>
      <c r="D58" s="172"/>
      <c r="E58" s="172"/>
      <c r="F58" s="172"/>
      <c r="G58" s="173"/>
      <c r="H58" s="8"/>
      <c r="I58" s="8"/>
    </row>
    <row r="59" spans="1:9" x14ac:dyDescent="0.2">
      <c r="A59" s="8"/>
      <c r="B59" s="10"/>
      <c r="C59" s="11"/>
      <c r="D59" s="11"/>
      <c r="E59" s="11"/>
      <c r="F59" s="11"/>
      <c r="G59" s="12"/>
      <c r="H59" s="8"/>
      <c r="I59" s="8"/>
    </row>
    <row r="60" spans="1:9" x14ac:dyDescent="0.2">
      <c r="A60" s="8"/>
      <c r="B60" s="10"/>
      <c r="C60" s="174" t="s">
        <v>38</v>
      </c>
      <c r="D60" s="175"/>
      <c r="E60" s="13">
        <f>UnleadedBase</f>
        <v>2.3717205806451598</v>
      </c>
      <c r="F60" s="11"/>
      <c r="G60" s="12"/>
      <c r="H60" s="8"/>
      <c r="I60" s="8"/>
    </row>
    <row r="61" spans="1:9" x14ac:dyDescent="0.2">
      <c r="A61" s="8"/>
      <c r="B61" s="10"/>
      <c r="C61" s="178" t="s">
        <v>39</v>
      </c>
      <c r="D61" s="179"/>
      <c r="E61" s="14">
        <f>UnleadedCurrent</f>
        <v>2.3717205806451598</v>
      </c>
      <c r="F61" s="11"/>
      <c r="G61" s="12"/>
      <c r="H61" s="8"/>
      <c r="I61" s="8"/>
    </row>
    <row r="62" spans="1:9" x14ac:dyDescent="0.2">
      <c r="A62" s="8"/>
      <c r="B62" s="10"/>
      <c r="C62" s="176" t="s">
        <v>40</v>
      </c>
      <c r="D62" s="177"/>
      <c r="E62" s="15">
        <f>VLOOKUP(E61,E67:G106,3)</f>
        <v>0</v>
      </c>
      <c r="F62" s="11"/>
      <c r="G62" s="12"/>
      <c r="H62" s="8"/>
      <c r="I62" s="8"/>
    </row>
    <row r="63" spans="1:9" x14ac:dyDescent="0.2">
      <c r="A63" s="8"/>
      <c r="B63" s="10"/>
      <c r="C63" s="11"/>
      <c r="D63" s="11"/>
      <c r="E63" s="11"/>
      <c r="F63" s="11"/>
      <c r="G63" s="12"/>
      <c r="H63" s="8"/>
      <c r="I63" s="8"/>
    </row>
    <row r="64" spans="1:9" x14ac:dyDescent="0.2">
      <c r="A64" s="8"/>
      <c r="B64" s="10"/>
      <c r="C64" s="11"/>
      <c r="D64" s="11"/>
      <c r="E64" s="11"/>
      <c r="F64" s="11"/>
      <c r="G64" s="12"/>
      <c r="H64" s="8"/>
      <c r="I64" s="8"/>
    </row>
    <row r="65" spans="1:9" x14ac:dyDescent="0.2">
      <c r="A65" s="8"/>
      <c r="B65" s="10"/>
      <c r="C65" s="11"/>
      <c r="D65" s="11"/>
      <c r="E65" s="11"/>
      <c r="F65" s="11"/>
      <c r="G65" s="12"/>
      <c r="H65" s="8"/>
      <c r="I65" s="8"/>
    </row>
    <row r="66" spans="1:9" ht="13.5" thickBot="1" x14ac:dyDescent="0.25">
      <c r="A66" s="8"/>
      <c r="B66" s="10"/>
      <c r="C66" s="11"/>
      <c r="D66" s="11"/>
      <c r="E66" s="11"/>
      <c r="F66" s="11"/>
      <c r="G66" s="12"/>
      <c r="H66" s="8"/>
      <c r="I66" s="8"/>
    </row>
    <row r="67" spans="1:9" x14ac:dyDescent="0.2">
      <c r="A67" s="8"/>
      <c r="B67" s="164" t="s">
        <v>41</v>
      </c>
      <c r="C67" s="48">
        <v>90</v>
      </c>
      <c r="D67" s="16">
        <v>100</v>
      </c>
      <c r="E67" s="37">
        <f>0*UnleadedBase</f>
        <v>0</v>
      </c>
      <c r="F67" s="17">
        <f>0.1*UnleadedBase-0.0001</f>
        <v>0.23707205806451601</v>
      </c>
      <c r="G67" s="18">
        <f>-0.9*UnleadedBase</f>
        <v>-2.1345485225806438</v>
      </c>
      <c r="H67" s="8"/>
      <c r="I67" s="8"/>
    </row>
    <row r="68" spans="1:9" x14ac:dyDescent="0.2">
      <c r="A68" s="8"/>
      <c r="B68" s="165"/>
      <c r="C68" s="49">
        <v>80</v>
      </c>
      <c r="D68" s="19">
        <v>90</v>
      </c>
      <c r="E68" s="39">
        <f>0.1*UnleadedBase</f>
        <v>0.23717205806451599</v>
      </c>
      <c r="F68" s="20">
        <f>0.2*UnleadedBase-0.0001</f>
        <v>0.474244116129032</v>
      </c>
      <c r="G68" s="21">
        <f>-0.8*UnleadedBase</f>
        <v>-1.897376464516128</v>
      </c>
      <c r="H68" s="8"/>
      <c r="I68" s="8"/>
    </row>
    <row r="69" spans="1:9" x14ac:dyDescent="0.2">
      <c r="A69" s="8"/>
      <c r="B69" s="165"/>
      <c r="C69" s="49">
        <v>70</v>
      </c>
      <c r="D69" s="19">
        <v>80</v>
      </c>
      <c r="E69" s="39">
        <f>0.2*UnleadedBase</f>
        <v>0.47434411612903199</v>
      </c>
      <c r="F69" s="20">
        <f>0.3*UnleadedBase-0.0001</f>
        <v>0.71141617419354797</v>
      </c>
      <c r="G69" s="21">
        <f>-0.7*UnleadedBase</f>
        <v>-1.6602044064516117</v>
      </c>
      <c r="H69" s="8"/>
      <c r="I69" s="8"/>
    </row>
    <row r="70" spans="1:9" x14ac:dyDescent="0.2">
      <c r="A70" s="8"/>
      <c r="B70" s="165"/>
      <c r="C70" s="49">
        <v>60</v>
      </c>
      <c r="D70" s="19">
        <v>70</v>
      </c>
      <c r="E70" s="39">
        <f>0.3*UnleadedBase</f>
        <v>0.71151617419354796</v>
      </c>
      <c r="F70" s="20">
        <f>0.4*UnleadedBase-0.0001</f>
        <v>0.94858823225806399</v>
      </c>
      <c r="G70" s="21">
        <f>-0.6*UnleadedBase</f>
        <v>-1.4230323483870959</v>
      </c>
      <c r="H70" s="8"/>
      <c r="I70" s="8"/>
    </row>
    <row r="71" spans="1:9" x14ac:dyDescent="0.2">
      <c r="A71" s="8"/>
      <c r="B71" s="165"/>
      <c r="C71" s="49">
        <v>50</v>
      </c>
      <c r="D71" s="19">
        <v>60</v>
      </c>
      <c r="E71" s="39">
        <f>0.4*UnleadedBase</f>
        <v>0.94868823225806398</v>
      </c>
      <c r="F71" s="20">
        <f>0.5*UnleadedBase-0.0001</f>
        <v>1.1857602903225799</v>
      </c>
      <c r="G71" s="21">
        <f>-0.5*UnleadedBase</f>
        <v>-1.1858602903225799</v>
      </c>
      <c r="H71" s="8"/>
      <c r="I71" s="8"/>
    </row>
    <row r="72" spans="1:9" x14ac:dyDescent="0.2">
      <c r="A72" s="8"/>
      <c r="B72" s="165"/>
      <c r="C72" s="49">
        <v>40</v>
      </c>
      <c r="D72" s="19">
        <v>50</v>
      </c>
      <c r="E72" s="39">
        <f>0.5*UnleadedBase</f>
        <v>1.1858602903225799</v>
      </c>
      <c r="F72" s="20">
        <f>0.6*UnleadedBase-0.0001</f>
        <v>1.4229323483870959</v>
      </c>
      <c r="G72" s="21">
        <f>-0.4*UnleadedBase</f>
        <v>-0.94868823225806398</v>
      </c>
      <c r="H72" s="8"/>
      <c r="I72" s="8"/>
    </row>
    <row r="73" spans="1:9" x14ac:dyDescent="0.2">
      <c r="A73" s="8"/>
      <c r="B73" s="165"/>
      <c r="C73" s="49">
        <v>30</v>
      </c>
      <c r="D73" s="19">
        <v>40</v>
      </c>
      <c r="E73" s="39">
        <f>0.6*UnleadedBase</f>
        <v>1.4230323483870959</v>
      </c>
      <c r="F73" s="20">
        <f>0.7*UnleadedBase-0.0001</f>
        <v>1.6601044064516117</v>
      </c>
      <c r="G73" s="21">
        <f>-0.3*UnleadedBase</f>
        <v>-0.71151617419354796</v>
      </c>
      <c r="H73" s="8"/>
      <c r="I73" s="8"/>
    </row>
    <row r="74" spans="1:9" x14ac:dyDescent="0.2">
      <c r="A74" s="8"/>
      <c r="B74" s="165"/>
      <c r="C74" s="49">
        <v>20</v>
      </c>
      <c r="D74" s="19">
        <v>30</v>
      </c>
      <c r="E74" s="39">
        <f>0.7*UnleadedBase</f>
        <v>1.6602044064516117</v>
      </c>
      <c r="F74" s="20">
        <f>0.8*UnleadedBase-0.0001</f>
        <v>1.897276464516128</v>
      </c>
      <c r="G74" s="21">
        <f>-0.2*UnleadedBase</f>
        <v>-0.47434411612903199</v>
      </c>
      <c r="H74" s="8"/>
      <c r="I74" s="8"/>
    </row>
    <row r="75" spans="1:9" x14ac:dyDescent="0.2">
      <c r="A75" s="8"/>
      <c r="B75" s="165"/>
      <c r="C75" s="49">
        <v>10</v>
      </c>
      <c r="D75" s="19">
        <v>20</v>
      </c>
      <c r="E75" s="39">
        <f>0.8*UnleadedBase</f>
        <v>1.897376464516128</v>
      </c>
      <c r="F75" s="20">
        <f>0.9*UnleadedBase-0.0001</f>
        <v>2.1344485225806435</v>
      </c>
      <c r="G75" s="21">
        <f>-0.1*UnleadedBase</f>
        <v>-0.23717205806451599</v>
      </c>
      <c r="H75" s="8"/>
      <c r="I75" s="8"/>
    </row>
    <row r="76" spans="1:9" x14ac:dyDescent="0.2">
      <c r="A76" s="8"/>
      <c r="B76" s="166"/>
      <c r="C76" s="56">
        <v>0</v>
      </c>
      <c r="D76" s="55">
        <v>10</v>
      </c>
      <c r="E76" s="41">
        <f>0.9*UnleadedBase</f>
        <v>2.1345485225806438</v>
      </c>
      <c r="F76" s="42">
        <f>1*UnleadedBase-0.0001</f>
        <v>2.3716205806451596</v>
      </c>
      <c r="G76" s="43">
        <f>0*UnleadedBase</f>
        <v>0</v>
      </c>
      <c r="H76" s="8"/>
      <c r="I76" s="8"/>
    </row>
    <row r="77" spans="1:9" x14ac:dyDescent="0.2">
      <c r="A77" s="8"/>
      <c r="B77" s="167" t="s">
        <v>42</v>
      </c>
      <c r="C77" s="57">
        <v>0</v>
      </c>
      <c r="D77" s="54">
        <v>10</v>
      </c>
      <c r="E77" s="45">
        <f>1*UnleadedBase</f>
        <v>2.3717205806451598</v>
      </c>
      <c r="F77" s="46">
        <f>1.1*UnleadedBase</f>
        <v>2.6088926387096758</v>
      </c>
      <c r="G77" s="47">
        <f>0*UnleadedBase</f>
        <v>0</v>
      </c>
      <c r="H77" s="8"/>
      <c r="I77" s="8"/>
    </row>
    <row r="78" spans="1:9" x14ac:dyDescent="0.2">
      <c r="A78" s="8"/>
      <c r="B78" s="165"/>
      <c r="C78" s="49">
        <v>10</v>
      </c>
      <c r="D78" s="19">
        <v>20</v>
      </c>
      <c r="E78" s="38">
        <f>1.1*UnleadedBase+0.0001</f>
        <v>2.608992638709676</v>
      </c>
      <c r="F78" s="20">
        <f>1.2*UnleadedBase</f>
        <v>2.8460646967741918</v>
      </c>
      <c r="G78" s="21">
        <f>0.1*UnleadedBase</f>
        <v>0.23717205806451599</v>
      </c>
      <c r="H78" s="8"/>
      <c r="I78" s="8"/>
    </row>
    <row r="79" spans="1:9" x14ac:dyDescent="0.2">
      <c r="A79" s="8"/>
      <c r="B79" s="165"/>
      <c r="C79" s="49">
        <v>20</v>
      </c>
      <c r="D79" s="19">
        <v>30</v>
      </c>
      <c r="E79" s="38">
        <f>1.2*UnleadedBase+0.0001</f>
        <v>2.846164696774192</v>
      </c>
      <c r="F79" s="20">
        <f>1.3*UnleadedBase</f>
        <v>3.0832367548387078</v>
      </c>
      <c r="G79" s="21">
        <f>0.2*UnleadedBase</f>
        <v>0.47434411612903199</v>
      </c>
      <c r="H79" s="8"/>
      <c r="I79" s="8"/>
    </row>
    <row r="80" spans="1:9" x14ac:dyDescent="0.2">
      <c r="A80" s="8"/>
      <c r="B80" s="165"/>
      <c r="C80" s="49">
        <v>30</v>
      </c>
      <c r="D80" s="19">
        <v>40</v>
      </c>
      <c r="E80" s="38">
        <f>1.3*UnleadedBase+0.0001</f>
        <v>3.0833367548387081</v>
      </c>
      <c r="F80" s="20">
        <f>1.4*UnleadedBase</f>
        <v>3.3204088129032234</v>
      </c>
      <c r="G80" s="21">
        <f>0.3*UnleadedBase</f>
        <v>0.71151617419354796</v>
      </c>
      <c r="H80" s="8"/>
      <c r="I80" s="8"/>
    </row>
    <row r="81" spans="1:9" x14ac:dyDescent="0.2">
      <c r="A81" s="8"/>
      <c r="B81" s="165"/>
      <c r="C81" s="49">
        <v>40</v>
      </c>
      <c r="D81" s="19">
        <v>50</v>
      </c>
      <c r="E81" s="38">
        <f>1.4*UnleadedBase+0.0001</f>
        <v>3.3205088129032236</v>
      </c>
      <c r="F81" s="20">
        <f>1.5*UnleadedBase</f>
        <v>3.5575808709677395</v>
      </c>
      <c r="G81" s="21">
        <f>0.4*UnleadedBase</f>
        <v>0.94868823225806398</v>
      </c>
      <c r="H81" s="8"/>
      <c r="I81" s="8"/>
    </row>
    <row r="82" spans="1:9" x14ac:dyDescent="0.2">
      <c r="A82" s="8"/>
      <c r="B82" s="165"/>
      <c r="C82" s="49">
        <v>50</v>
      </c>
      <c r="D82" s="19">
        <v>60</v>
      </c>
      <c r="E82" s="38">
        <f>1.5*UnleadedBase+0.0001</f>
        <v>3.5576808709677397</v>
      </c>
      <c r="F82" s="20">
        <f>1.6*UnleadedBase</f>
        <v>3.7947529290322559</v>
      </c>
      <c r="G82" s="21">
        <f>0.5*UnleadedBase</f>
        <v>1.1858602903225799</v>
      </c>
      <c r="H82" s="8"/>
      <c r="I82" s="8"/>
    </row>
    <row r="83" spans="1:9" x14ac:dyDescent="0.2">
      <c r="A83" s="8"/>
      <c r="B83" s="165"/>
      <c r="C83" s="49">
        <v>60</v>
      </c>
      <c r="D83" s="19">
        <v>70</v>
      </c>
      <c r="E83" s="38">
        <f>1.6*UnleadedBase+0.0001</f>
        <v>3.7948529290322561</v>
      </c>
      <c r="F83" s="20">
        <f>1.7*UnleadedBase</f>
        <v>4.0319249870967715</v>
      </c>
      <c r="G83" s="21">
        <f>0.6*UnleadedBase</f>
        <v>1.4230323483870959</v>
      </c>
      <c r="H83" s="8"/>
      <c r="I83" s="8"/>
    </row>
    <row r="84" spans="1:9" x14ac:dyDescent="0.2">
      <c r="A84" s="8"/>
      <c r="B84" s="165"/>
      <c r="C84" s="49">
        <v>70</v>
      </c>
      <c r="D84" s="19">
        <v>80</v>
      </c>
      <c r="E84" s="38">
        <f>1.7*UnleadedBase+0.0001</f>
        <v>4.0320249870967713</v>
      </c>
      <c r="F84" s="20">
        <f>1.8*UnleadedBase</f>
        <v>4.2690970451612875</v>
      </c>
      <c r="G84" s="21">
        <f>0.7*UnleadedBase</f>
        <v>1.6602044064516117</v>
      </c>
      <c r="H84" s="8"/>
      <c r="I84" s="8"/>
    </row>
    <row r="85" spans="1:9" x14ac:dyDescent="0.2">
      <c r="A85" s="8"/>
      <c r="B85" s="165"/>
      <c r="C85" s="49">
        <v>80</v>
      </c>
      <c r="D85" s="19">
        <v>90</v>
      </c>
      <c r="E85" s="38">
        <f>1.8*UnleadedBase+0.0001</f>
        <v>4.2691970451612873</v>
      </c>
      <c r="F85" s="20">
        <f>1.9*UnleadedBase</f>
        <v>4.5062691032258035</v>
      </c>
      <c r="G85" s="21">
        <f>0.8*UnleadedBase</f>
        <v>1.897376464516128</v>
      </c>
      <c r="H85" s="8"/>
      <c r="I85" s="8"/>
    </row>
    <row r="86" spans="1:9" x14ac:dyDescent="0.2">
      <c r="A86" s="8"/>
      <c r="B86" s="165"/>
      <c r="C86" s="49">
        <v>90</v>
      </c>
      <c r="D86" s="19">
        <v>100</v>
      </c>
      <c r="E86" s="38">
        <f>1.9*UnleadedBase+0.0001</f>
        <v>4.5063691032258033</v>
      </c>
      <c r="F86" s="20">
        <f>2*UnleadedBase</f>
        <v>4.7434411612903196</v>
      </c>
      <c r="G86" s="21">
        <f>0.9*UnleadedBase</f>
        <v>2.1345485225806438</v>
      </c>
      <c r="H86" s="8"/>
      <c r="I86" s="8"/>
    </row>
    <row r="87" spans="1:9" x14ac:dyDescent="0.2">
      <c r="A87" s="8"/>
      <c r="B87" s="165"/>
      <c r="C87" s="49">
        <v>100</v>
      </c>
      <c r="D87" s="19">
        <v>110</v>
      </c>
      <c r="E87" s="38">
        <f>2*UnleadedBase+0.0001</f>
        <v>4.7435411612903193</v>
      </c>
      <c r="F87" s="20">
        <f>2.1*UnleadedBase</f>
        <v>4.9806132193548356</v>
      </c>
      <c r="G87" s="21">
        <f>1*UnleadedBase</f>
        <v>2.3717205806451598</v>
      </c>
      <c r="H87" s="8"/>
      <c r="I87" s="8"/>
    </row>
    <row r="88" spans="1:9" x14ac:dyDescent="0.2">
      <c r="A88" s="8"/>
      <c r="B88" s="165"/>
      <c r="C88" s="49">
        <v>110</v>
      </c>
      <c r="D88" s="19">
        <v>120</v>
      </c>
      <c r="E88" s="38">
        <f>2.1*UnleadedBase+0.0001</f>
        <v>4.9807132193548354</v>
      </c>
      <c r="F88" s="20">
        <f>2.2*UnleadedBase</f>
        <v>5.2177852774193516</v>
      </c>
      <c r="G88" s="21">
        <f>1.1*UnleadedBase</f>
        <v>2.6088926387096758</v>
      </c>
      <c r="H88" s="8"/>
      <c r="I88" s="8"/>
    </row>
    <row r="89" spans="1:9" x14ac:dyDescent="0.2">
      <c r="A89" s="8"/>
      <c r="B89" s="165"/>
      <c r="C89" s="49">
        <v>120</v>
      </c>
      <c r="D89" s="19">
        <v>130</v>
      </c>
      <c r="E89" s="38">
        <f>2.2*UnleadedBase+0.0001</f>
        <v>5.2178852774193514</v>
      </c>
      <c r="F89" s="20">
        <f>2.3*UnleadedBase</f>
        <v>5.4549573354838667</v>
      </c>
      <c r="G89" s="21">
        <f>1.2*UnleadedBase</f>
        <v>2.8460646967741918</v>
      </c>
      <c r="H89" s="8"/>
      <c r="I89" s="8"/>
    </row>
    <row r="90" spans="1:9" x14ac:dyDescent="0.2">
      <c r="A90" s="8"/>
      <c r="B90" s="165"/>
      <c r="C90" s="49">
        <v>130</v>
      </c>
      <c r="D90" s="19">
        <v>140</v>
      </c>
      <c r="E90" s="38">
        <f>2.3*UnleadedBase+0.0001</f>
        <v>5.4550573354838665</v>
      </c>
      <c r="F90" s="20">
        <f>2.4*UnleadedBase</f>
        <v>5.6921293935483837</v>
      </c>
      <c r="G90" s="21">
        <f>1.3*UnleadedBase</f>
        <v>3.0832367548387078</v>
      </c>
      <c r="H90" s="8"/>
      <c r="I90" s="8"/>
    </row>
    <row r="91" spans="1:9" x14ac:dyDescent="0.2">
      <c r="A91" s="8"/>
      <c r="B91" s="165"/>
      <c r="C91" s="49">
        <v>140</v>
      </c>
      <c r="D91" s="19">
        <v>150</v>
      </c>
      <c r="E91" s="38">
        <f>2.4*UnleadedBase+0.0001</f>
        <v>5.6922293935483834</v>
      </c>
      <c r="F91" s="20">
        <f>2.5*UnleadedBase</f>
        <v>5.9293014516128997</v>
      </c>
      <c r="G91" s="21">
        <f>1.4*UnleadedBase</f>
        <v>3.3204088129032234</v>
      </c>
      <c r="H91" s="8"/>
      <c r="I91" s="8"/>
    </row>
    <row r="92" spans="1:9" x14ac:dyDescent="0.2">
      <c r="A92" s="8"/>
      <c r="B92" s="165"/>
      <c r="C92" s="49">
        <v>150</v>
      </c>
      <c r="D92" s="19">
        <v>160</v>
      </c>
      <c r="E92" s="38">
        <f>2.5*UnleadedBase+0.0001</f>
        <v>5.9294014516128994</v>
      </c>
      <c r="F92" s="20">
        <f>2.6*UnleadedBase</f>
        <v>6.1664735096774157</v>
      </c>
      <c r="G92" s="21">
        <f>1.5*UnleadedBase</f>
        <v>3.5575808709677395</v>
      </c>
      <c r="H92" s="8"/>
      <c r="I92" s="8"/>
    </row>
    <row r="93" spans="1:9" x14ac:dyDescent="0.2">
      <c r="A93" s="8"/>
      <c r="B93" s="165"/>
      <c r="C93" s="49">
        <v>160</v>
      </c>
      <c r="D93" s="19">
        <v>170</v>
      </c>
      <c r="E93" s="38">
        <f>2.6*UnleadedBase+0.0001</f>
        <v>6.1665735096774155</v>
      </c>
      <c r="F93" s="20">
        <f>2.7*UnleadedBase</f>
        <v>6.4036455677419317</v>
      </c>
      <c r="G93" s="21">
        <f>1.6*UnleadedBase</f>
        <v>3.7947529290322559</v>
      </c>
      <c r="H93" s="8"/>
      <c r="I93" s="8"/>
    </row>
    <row r="94" spans="1:9" x14ac:dyDescent="0.2">
      <c r="A94" s="8"/>
      <c r="B94" s="165"/>
      <c r="C94" s="49">
        <v>170</v>
      </c>
      <c r="D94" s="19">
        <v>180</v>
      </c>
      <c r="E94" s="38">
        <f>2.7*UnleadedBase+0.0001</f>
        <v>6.4037455677419315</v>
      </c>
      <c r="F94" s="20">
        <f>2.8*UnleadedBase</f>
        <v>6.6408176258064469</v>
      </c>
      <c r="G94" s="21">
        <f>1.7*UnleadedBase</f>
        <v>4.0319249870967715</v>
      </c>
      <c r="H94" s="8"/>
      <c r="I94" s="8"/>
    </row>
    <row r="95" spans="1:9" x14ac:dyDescent="0.2">
      <c r="A95" s="8"/>
      <c r="B95" s="165"/>
      <c r="C95" s="49">
        <v>180</v>
      </c>
      <c r="D95" s="19">
        <v>190</v>
      </c>
      <c r="E95" s="38">
        <f>2.8*UnleadedBase+0.0001</f>
        <v>6.6409176258064466</v>
      </c>
      <c r="F95" s="20">
        <f>2.9*UnleadedBase</f>
        <v>6.8779896838709629</v>
      </c>
      <c r="G95" s="21">
        <f>1.8*UnleadedBase</f>
        <v>4.2690970451612875</v>
      </c>
      <c r="H95" s="8"/>
      <c r="I95" s="8"/>
    </row>
    <row r="96" spans="1:9" x14ac:dyDescent="0.2">
      <c r="A96" s="8"/>
      <c r="B96" s="165"/>
      <c r="C96" s="49">
        <v>190</v>
      </c>
      <c r="D96" s="19">
        <v>200</v>
      </c>
      <c r="E96" s="38">
        <f>2.9*UnleadedBase+0.0001</f>
        <v>6.8780896838709626</v>
      </c>
      <c r="F96" s="20">
        <f>3*UnleadedBase</f>
        <v>7.1151617419354789</v>
      </c>
      <c r="G96" s="21">
        <f>1.9*UnleadedBase</f>
        <v>4.5062691032258035</v>
      </c>
      <c r="H96" s="8"/>
      <c r="I96" s="8"/>
    </row>
    <row r="97" spans="1:9" x14ac:dyDescent="0.2">
      <c r="A97" s="8"/>
      <c r="B97" s="165"/>
      <c r="C97" s="49">
        <v>200</v>
      </c>
      <c r="D97" s="19">
        <v>210</v>
      </c>
      <c r="E97" s="38">
        <f>3*UnleadedBase+0.0001</f>
        <v>7.1152617419354787</v>
      </c>
      <c r="F97" s="20">
        <f>3.1*UnleadedBase</f>
        <v>7.3523337999999958</v>
      </c>
      <c r="G97" s="21">
        <f>2*UnleadedBase</f>
        <v>4.7434411612903196</v>
      </c>
      <c r="H97" s="8"/>
      <c r="I97" s="8"/>
    </row>
    <row r="98" spans="1:9" x14ac:dyDescent="0.2">
      <c r="A98" s="8"/>
      <c r="B98" s="165"/>
      <c r="C98" s="49">
        <v>210</v>
      </c>
      <c r="D98" s="19">
        <v>220</v>
      </c>
      <c r="E98" s="38">
        <f>3.1*UnleadedBase+0.0001</f>
        <v>7.3524337999999956</v>
      </c>
      <c r="F98" s="20">
        <f>3.2*UnleadedBase</f>
        <v>7.5895058580645118</v>
      </c>
      <c r="G98" s="21">
        <f>2.1*UnleadedBase</f>
        <v>4.9806132193548356</v>
      </c>
      <c r="H98" s="8"/>
      <c r="I98" s="8"/>
    </row>
    <row r="99" spans="1:9" x14ac:dyDescent="0.2">
      <c r="A99" s="8"/>
      <c r="B99" s="165"/>
      <c r="C99" s="49">
        <v>220</v>
      </c>
      <c r="D99" s="19">
        <v>230</v>
      </c>
      <c r="E99" s="38">
        <f>3.2*UnleadedBase+0.0001</f>
        <v>7.5896058580645116</v>
      </c>
      <c r="F99" s="20">
        <f>3.3*UnleadedBase</f>
        <v>7.826677916129027</v>
      </c>
      <c r="G99" s="21">
        <f>2.2*UnleadedBase</f>
        <v>5.2177852774193516</v>
      </c>
      <c r="H99" s="8"/>
      <c r="I99" s="8"/>
    </row>
    <row r="100" spans="1:9" x14ac:dyDescent="0.2">
      <c r="A100" s="8"/>
      <c r="B100" s="165"/>
      <c r="C100" s="49">
        <v>230</v>
      </c>
      <c r="D100" s="19">
        <v>240</v>
      </c>
      <c r="E100" s="38">
        <f>3.3*UnleadedBase+0.0001</f>
        <v>7.8267779161290267</v>
      </c>
      <c r="F100" s="20">
        <f>3.4*UnleadedBase</f>
        <v>8.063849974193543</v>
      </c>
      <c r="G100" s="21">
        <f>2.3*UnleadedBase</f>
        <v>5.4549573354838667</v>
      </c>
      <c r="H100" s="8"/>
      <c r="I100" s="8"/>
    </row>
    <row r="101" spans="1:9" x14ac:dyDescent="0.2">
      <c r="A101" s="8"/>
      <c r="B101" s="165"/>
      <c r="C101" s="49">
        <v>240</v>
      </c>
      <c r="D101" s="19">
        <v>250</v>
      </c>
      <c r="E101" s="38">
        <f>3.4*UnleadedBase+0.0001</f>
        <v>8.0639499741935428</v>
      </c>
      <c r="F101" s="20">
        <f>3.5*UnleadedBase</f>
        <v>8.301022032258059</v>
      </c>
      <c r="G101" s="21">
        <f>2.4*UnleadedBase</f>
        <v>5.6921293935483837</v>
      </c>
      <c r="H101" s="8"/>
      <c r="I101" s="8"/>
    </row>
    <row r="102" spans="1:9" x14ac:dyDescent="0.2">
      <c r="A102" s="8"/>
      <c r="B102" s="165"/>
      <c r="C102" s="49">
        <v>250</v>
      </c>
      <c r="D102" s="19">
        <v>260</v>
      </c>
      <c r="E102" s="38">
        <f>3.5*UnleadedBase+0.0001</f>
        <v>8.3011220322580588</v>
      </c>
      <c r="F102" s="20">
        <f>3.6*UnleadedBase</f>
        <v>8.538194090322575</v>
      </c>
      <c r="G102" s="21">
        <f>2.5*UnleadedBase</f>
        <v>5.9293014516128997</v>
      </c>
      <c r="H102" s="8"/>
      <c r="I102" s="8"/>
    </row>
    <row r="103" spans="1:9" x14ac:dyDescent="0.2">
      <c r="A103" s="8"/>
      <c r="B103" s="165"/>
      <c r="C103" s="49">
        <v>260</v>
      </c>
      <c r="D103" s="19">
        <v>270</v>
      </c>
      <c r="E103" s="38">
        <f>3.6*UnleadedBase+0.0001</f>
        <v>8.5382940903225748</v>
      </c>
      <c r="F103" s="20">
        <f>3.7*UnleadedBase</f>
        <v>8.7753661483870911</v>
      </c>
      <c r="G103" s="21">
        <f>2.6*UnleadedBase</f>
        <v>6.1664735096774157</v>
      </c>
      <c r="H103" s="8"/>
      <c r="I103" s="8"/>
    </row>
    <row r="104" spans="1:9" x14ac:dyDescent="0.2">
      <c r="A104" s="8"/>
      <c r="B104" s="165"/>
      <c r="C104" s="49">
        <v>270</v>
      </c>
      <c r="D104" s="19">
        <v>280</v>
      </c>
      <c r="E104" s="38">
        <f>3.7*UnleadedBase+0.0001</f>
        <v>8.7754661483870908</v>
      </c>
      <c r="F104" s="20">
        <f>3.8*UnleadedBase</f>
        <v>9.0125382064516071</v>
      </c>
      <c r="G104" s="21">
        <f>2.7*UnleadedBase</f>
        <v>6.4036455677419317</v>
      </c>
      <c r="H104" s="8"/>
      <c r="I104" s="8"/>
    </row>
    <row r="105" spans="1:9" x14ac:dyDescent="0.2">
      <c r="A105" s="8"/>
      <c r="B105" s="165"/>
      <c r="C105" s="49">
        <v>280</v>
      </c>
      <c r="D105" s="19">
        <v>290</v>
      </c>
      <c r="E105" s="38">
        <f>3.8*UnleadedBase+0.0001</f>
        <v>9.0126382064516068</v>
      </c>
      <c r="F105" s="20">
        <f>3.9*UnleadedBase</f>
        <v>9.2497102645161231</v>
      </c>
      <c r="G105" s="21">
        <f>2.8*UnleadedBase</f>
        <v>6.6408176258064469</v>
      </c>
      <c r="H105" s="8"/>
      <c r="I105" s="8"/>
    </row>
    <row r="106" spans="1:9" ht="13.5" thickBot="1" x14ac:dyDescent="0.25">
      <c r="A106" s="8"/>
      <c r="B106" s="168"/>
      <c r="C106" s="52">
        <v>290</v>
      </c>
      <c r="D106" s="22">
        <v>300</v>
      </c>
      <c r="E106" s="53">
        <f>3.9*UnleadedBase+0.0001</f>
        <v>9.2498102645161229</v>
      </c>
      <c r="F106" s="23">
        <f>4*UnleadedBase</f>
        <v>9.4868823225806391</v>
      </c>
      <c r="G106" s="24">
        <f>2.9*UnleadedBase</f>
        <v>6.8779896838709629</v>
      </c>
      <c r="H106" s="8"/>
      <c r="I106" s="8"/>
    </row>
    <row r="107" spans="1:9" x14ac:dyDescent="0.2">
      <c r="A107" s="8"/>
      <c r="B107" s="25"/>
      <c r="C107" s="26"/>
      <c r="D107" s="26"/>
      <c r="E107" s="27"/>
      <c r="F107" s="27"/>
      <c r="G107" s="27"/>
      <c r="H107" s="8"/>
      <c r="I107" s="8"/>
    </row>
    <row r="108" spans="1:9" x14ac:dyDescent="0.2">
      <c r="A108" s="8"/>
      <c r="B108" s="25"/>
      <c r="C108" s="26"/>
      <c r="D108" s="26"/>
      <c r="E108" s="27"/>
      <c r="F108" s="27"/>
      <c r="G108" s="27"/>
      <c r="H108" s="8"/>
      <c r="I108" s="8"/>
    </row>
    <row r="109" spans="1:9" x14ac:dyDescent="0.2">
      <c r="A109" s="8"/>
      <c r="B109" s="25"/>
      <c r="C109" s="26"/>
      <c r="D109" s="26"/>
      <c r="E109" s="27"/>
      <c r="F109" s="27"/>
      <c r="G109" s="27"/>
      <c r="H109" s="8"/>
      <c r="I109" s="8"/>
    </row>
    <row r="110" spans="1:9" x14ac:dyDescent="0.2">
      <c r="A110" s="8"/>
      <c r="B110" s="25"/>
      <c r="C110" s="26"/>
      <c r="D110" s="26"/>
      <c r="E110" s="27"/>
      <c r="F110" s="27"/>
      <c r="G110" s="27"/>
      <c r="H110" s="8"/>
      <c r="I110" s="8"/>
    </row>
  </sheetData>
  <sheetProtection algorithmName="SHA-512" hashValue="2zvdgFTO1HckVd6ZqawuVnd+gGi2NRFQx4lb0swIRR/5uOV53HOF/oyqlJe/D4fQQWt4OI4803AgeTJJgMtaUQ==" saltValue="sz5Zdrms3Bms/saMjYKw4Q==" spinCount="100000" sheet="1" objects="1" scenarios="1"/>
  <mergeCells count="12">
    <mergeCell ref="B3:G3"/>
    <mergeCell ref="C5:D5"/>
    <mergeCell ref="C6:D6"/>
    <mergeCell ref="C7:D7"/>
    <mergeCell ref="C61:D61"/>
    <mergeCell ref="B67:B76"/>
    <mergeCell ref="B77:B106"/>
    <mergeCell ref="B12:B21"/>
    <mergeCell ref="B22:B51"/>
    <mergeCell ref="B58:G58"/>
    <mergeCell ref="C60:D60"/>
    <mergeCell ref="C62:D62"/>
  </mergeCells>
  <phoneticPr fontId="0" type="noConversion"/>
  <conditionalFormatting sqref="G12:G51">
    <cfRule type="cellIs" dxfId="2" priority="1" stopIfTrue="1" operator="equal">
      <formula>$E$7</formula>
    </cfRule>
  </conditionalFormatting>
  <conditionalFormatting sqref="G67:G106">
    <cfRule type="cellIs" dxfId="1" priority="2" stopIfTrue="1" operator="equal">
      <formula>$E$62</formula>
    </cfRule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08"/>
  <sheetViews>
    <sheetView zoomScale="115" zoomScaleNormal="115" workbookViewId="0">
      <selection activeCell="J5" sqref="J5:J6"/>
    </sheetView>
  </sheetViews>
  <sheetFormatPr defaultRowHeight="12.75" x14ac:dyDescent="0.2"/>
  <cols>
    <col min="3" max="4" width="9.7109375" customWidth="1"/>
    <col min="5" max="7" width="11.7109375" customWidth="1"/>
  </cols>
  <sheetData>
    <row r="1" spans="1:8" ht="24.75" customHeight="1" thickBot="1" x14ac:dyDescent="0.25">
      <c r="A1" s="8"/>
      <c r="B1" s="9"/>
      <c r="C1" s="9"/>
      <c r="D1" s="9"/>
      <c r="E1" s="9"/>
      <c r="F1" s="9"/>
      <c r="G1" s="9"/>
      <c r="H1" s="8"/>
    </row>
    <row r="2" spans="1:8" ht="15.75" x14ac:dyDescent="0.25">
      <c r="A2" s="8"/>
      <c r="B2" s="187" t="s">
        <v>44</v>
      </c>
      <c r="C2" s="188"/>
      <c r="D2" s="188"/>
      <c r="E2" s="188"/>
      <c r="F2" s="188"/>
      <c r="G2" s="189"/>
      <c r="H2" s="8"/>
    </row>
    <row r="3" spans="1:8" x14ac:dyDescent="0.2">
      <c r="A3" s="8"/>
      <c r="B3" s="10"/>
      <c r="C3" s="11"/>
      <c r="D3" s="11"/>
      <c r="E3" s="11"/>
      <c r="F3" s="11"/>
      <c r="G3" s="12"/>
      <c r="H3" s="8"/>
    </row>
    <row r="4" spans="1:8" x14ac:dyDescent="0.2">
      <c r="A4" s="8"/>
      <c r="B4" s="10"/>
      <c r="C4" s="174" t="s">
        <v>38</v>
      </c>
      <c r="D4" s="175"/>
      <c r="E4" s="28">
        <f>AsphaltBinderBase</f>
        <v>581.41999999999996</v>
      </c>
      <c r="F4" s="11"/>
      <c r="G4" s="12"/>
      <c r="H4" s="8"/>
    </row>
    <row r="5" spans="1:8" x14ac:dyDescent="0.2">
      <c r="A5" s="8"/>
      <c r="B5" s="10"/>
      <c r="C5" s="178" t="s">
        <v>39</v>
      </c>
      <c r="D5" s="179"/>
      <c r="E5" s="28">
        <f>AsphaltBinderCurrent</f>
        <v>581.41999999999996</v>
      </c>
      <c r="F5" s="11"/>
      <c r="G5" s="12"/>
      <c r="H5" s="8"/>
    </row>
    <row r="6" spans="1:8" x14ac:dyDescent="0.2">
      <c r="A6" s="8"/>
      <c r="B6" s="10"/>
      <c r="C6" s="176" t="s">
        <v>40</v>
      </c>
      <c r="D6" s="177"/>
      <c r="E6" s="29">
        <f>VLOOKUP(E5,E11:G105,3)</f>
        <v>0</v>
      </c>
      <c r="F6" s="11"/>
      <c r="G6" s="12"/>
      <c r="H6" s="8"/>
    </row>
    <row r="7" spans="1:8" x14ac:dyDescent="0.2">
      <c r="A7" s="8"/>
      <c r="B7" s="10"/>
      <c r="C7" s="11"/>
      <c r="D7" s="11"/>
      <c r="E7" s="11"/>
      <c r="F7" s="11"/>
      <c r="G7" s="12"/>
      <c r="H7" s="8"/>
    </row>
    <row r="8" spans="1:8" x14ac:dyDescent="0.2">
      <c r="A8" s="8"/>
      <c r="B8" s="10"/>
      <c r="C8" s="11"/>
      <c r="D8" s="11"/>
      <c r="E8" s="11"/>
      <c r="F8" s="11"/>
      <c r="G8" s="12"/>
      <c r="H8" s="8"/>
    </row>
    <row r="9" spans="1:8" x14ac:dyDescent="0.2">
      <c r="A9" s="8"/>
      <c r="B9" s="10"/>
      <c r="C9" s="11"/>
      <c r="D9" s="11"/>
      <c r="E9" s="11"/>
      <c r="F9" s="11"/>
      <c r="G9" s="12"/>
      <c r="H9" s="8"/>
    </row>
    <row r="10" spans="1:8" x14ac:dyDescent="0.2">
      <c r="A10" s="8"/>
      <c r="B10" s="10"/>
      <c r="C10" s="11"/>
      <c r="D10" s="11"/>
      <c r="E10" s="11"/>
      <c r="F10" s="11"/>
      <c r="G10" s="12"/>
      <c r="H10" s="8"/>
    </row>
    <row r="11" spans="1:8" x14ac:dyDescent="0.2">
      <c r="A11" s="8"/>
      <c r="B11" s="184" t="s">
        <v>41</v>
      </c>
      <c r="C11" s="51">
        <v>95</v>
      </c>
      <c r="D11" s="44">
        <v>100</v>
      </c>
      <c r="E11" s="62">
        <f>0*AsphaltBinderBase</f>
        <v>0</v>
      </c>
      <c r="F11" s="62">
        <f>0.05*AsphaltBinderBase-0.01</f>
        <v>29.060999999999996</v>
      </c>
      <c r="G11" s="64">
        <f>-0.95*AsphaltBinderBase</f>
        <v>-552.34899999999993</v>
      </c>
      <c r="H11" s="8"/>
    </row>
    <row r="12" spans="1:8" x14ac:dyDescent="0.2">
      <c r="A12" s="8"/>
      <c r="B12" s="185"/>
      <c r="C12" s="49">
        <v>90</v>
      </c>
      <c r="D12" s="19">
        <v>95</v>
      </c>
      <c r="E12" s="30">
        <f>0.05*AsphaltBinderBase</f>
        <v>29.070999999999998</v>
      </c>
      <c r="F12" s="30">
        <f>0.1*AsphaltBinderBase-0.01</f>
        <v>58.131999999999998</v>
      </c>
      <c r="G12" s="66">
        <f>-0.9*AsphaltBinderBase</f>
        <v>-523.27800000000002</v>
      </c>
      <c r="H12" s="8"/>
    </row>
    <row r="13" spans="1:8" x14ac:dyDescent="0.2">
      <c r="A13" s="8"/>
      <c r="B13" s="185"/>
      <c r="C13" s="49">
        <v>85</v>
      </c>
      <c r="D13" s="19">
        <v>90</v>
      </c>
      <c r="E13" s="30">
        <f>0.1*AsphaltBinderBase</f>
        <v>58.141999999999996</v>
      </c>
      <c r="F13" s="30">
        <f>0.15*AsphaltBinderBase-0.01</f>
        <v>87.202999999999989</v>
      </c>
      <c r="G13" s="66">
        <f>-0.85*AsphaltBinderBase</f>
        <v>-494.20699999999994</v>
      </c>
      <c r="H13" s="8"/>
    </row>
    <row r="14" spans="1:8" x14ac:dyDescent="0.2">
      <c r="A14" s="8"/>
      <c r="B14" s="185"/>
      <c r="C14" s="49">
        <v>80</v>
      </c>
      <c r="D14" s="19">
        <v>85</v>
      </c>
      <c r="E14" s="30">
        <f>0.15*AsphaltBinderBase</f>
        <v>87.212999999999994</v>
      </c>
      <c r="F14" s="30">
        <f>0.2*AsphaltBinderBase-0.01</f>
        <v>116.27399999999999</v>
      </c>
      <c r="G14" s="66">
        <f>-0.8*AsphaltBinderBase</f>
        <v>-465.13599999999997</v>
      </c>
      <c r="H14" s="8"/>
    </row>
    <row r="15" spans="1:8" x14ac:dyDescent="0.2">
      <c r="A15" s="8"/>
      <c r="B15" s="185"/>
      <c r="C15" s="49">
        <v>75</v>
      </c>
      <c r="D15" s="19">
        <v>80</v>
      </c>
      <c r="E15" s="30">
        <f>0.2*AsphaltBinderBase</f>
        <v>116.28399999999999</v>
      </c>
      <c r="F15" s="30">
        <f>0.25*AsphaltBinderBase-0.01</f>
        <v>145.345</v>
      </c>
      <c r="G15" s="66">
        <f>-0.75*AsphaltBinderBase</f>
        <v>-436.06499999999994</v>
      </c>
      <c r="H15" s="8"/>
    </row>
    <row r="16" spans="1:8" x14ac:dyDescent="0.2">
      <c r="A16" s="8"/>
      <c r="B16" s="185"/>
      <c r="C16" s="49">
        <v>70</v>
      </c>
      <c r="D16" s="19">
        <v>75</v>
      </c>
      <c r="E16" s="30">
        <f>0.25*AsphaltBinderBase</f>
        <v>145.35499999999999</v>
      </c>
      <c r="F16" s="30">
        <f>0.3*AsphaltBinderBase-0.01</f>
        <v>174.416</v>
      </c>
      <c r="G16" s="66">
        <f>-0.7*AsphaltBinderBase</f>
        <v>-406.99399999999997</v>
      </c>
      <c r="H16" s="8"/>
    </row>
    <row r="17" spans="1:8" x14ac:dyDescent="0.2">
      <c r="A17" s="8"/>
      <c r="B17" s="185"/>
      <c r="C17" s="49">
        <v>65</v>
      </c>
      <c r="D17" s="19">
        <v>70</v>
      </c>
      <c r="E17" s="30">
        <f>0.3*AsphaltBinderBase</f>
        <v>174.42599999999999</v>
      </c>
      <c r="F17" s="30">
        <f>0.35*AsphaltBinderBase-0.01</f>
        <v>203.48699999999999</v>
      </c>
      <c r="G17" s="66">
        <f>-0.65*AsphaltBinderBase</f>
        <v>-377.923</v>
      </c>
      <c r="H17" s="8"/>
    </row>
    <row r="18" spans="1:8" x14ac:dyDescent="0.2">
      <c r="A18" s="8"/>
      <c r="B18" s="185"/>
      <c r="C18" s="49">
        <v>60</v>
      </c>
      <c r="D18" s="19">
        <v>65</v>
      </c>
      <c r="E18" s="30">
        <f>0.35*AsphaltBinderBase</f>
        <v>203.49699999999999</v>
      </c>
      <c r="F18" s="30">
        <f>0.4*AsphaltBinderBase-0.01</f>
        <v>232.55799999999999</v>
      </c>
      <c r="G18" s="66">
        <f>-0.6*AsphaltBinderBase</f>
        <v>-348.85199999999998</v>
      </c>
      <c r="H18" s="8"/>
    </row>
    <row r="19" spans="1:8" x14ac:dyDescent="0.2">
      <c r="A19" s="8"/>
      <c r="B19" s="185"/>
      <c r="C19" s="49">
        <v>55</v>
      </c>
      <c r="D19" s="19">
        <v>60</v>
      </c>
      <c r="E19" s="30">
        <f>0.4*AsphaltBinderBase</f>
        <v>232.56799999999998</v>
      </c>
      <c r="F19" s="30">
        <f>0.45*AsphaltBinderBase-0.01</f>
        <v>261.62900000000002</v>
      </c>
      <c r="G19" s="66">
        <f>-0.55*AsphaltBinderBase</f>
        <v>-319.78100000000001</v>
      </c>
      <c r="H19" s="8"/>
    </row>
    <row r="20" spans="1:8" x14ac:dyDescent="0.2">
      <c r="A20" s="8"/>
      <c r="B20" s="185"/>
      <c r="C20" s="49">
        <v>50</v>
      </c>
      <c r="D20" s="19">
        <v>55</v>
      </c>
      <c r="E20" s="30">
        <f>0.45*AsphaltBinderBase</f>
        <v>261.63900000000001</v>
      </c>
      <c r="F20" s="30">
        <f>0.5*AsphaltBinderBase-0.01</f>
        <v>290.7</v>
      </c>
      <c r="G20" s="66">
        <f>-0.5*AsphaltBinderBase</f>
        <v>-290.70999999999998</v>
      </c>
      <c r="H20" s="8"/>
    </row>
    <row r="21" spans="1:8" x14ac:dyDescent="0.2">
      <c r="A21" s="8"/>
      <c r="B21" s="185"/>
      <c r="C21" s="49">
        <v>45</v>
      </c>
      <c r="D21" s="19">
        <v>50</v>
      </c>
      <c r="E21" s="30">
        <f>0.5*AsphaltBinderBase</f>
        <v>290.70999999999998</v>
      </c>
      <c r="F21" s="30">
        <f>0.55*AsphaltBinderBase-0.01</f>
        <v>319.77100000000002</v>
      </c>
      <c r="G21" s="66">
        <f>-0.45*AsphaltBinderBase</f>
        <v>-261.63900000000001</v>
      </c>
      <c r="H21" s="8"/>
    </row>
    <row r="22" spans="1:8" x14ac:dyDescent="0.2">
      <c r="A22" s="8"/>
      <c r="B22" s="185"/>
      <c r="C22" s="49">
        <v>40</v>
      </c>
      <c r="D22" s="19">
        <v>45</v>
      </c>
      <c r="E22" s="30">
        <f>0.55*AsphaltBinderBase</f>
        <v>319.78100000000001</v>
      </c>
      <c r="F22" s="30">
        <f>0.6*AsphaltBinderBase-0.01</f>
        <v>348.84199999999998</v>
      </c>
      <c r="G22" s="66">
        <f>-0.4*AsphaltBinderBase</f>
        <v>-232.56799999999998</v>
      </c>
      <c r="H22" s="8"/>
    </row>
    <row r="23" spans="1:8" x14ac:dyDescent="0.2">
      <c r="A23" s="8"/>
      <c r="B23" s="185"/>
      <c r="C23" s="49">
        <v>35</v>
      </c>
      <c r="D23" s="19">
        <v>40</v>
      </c>
      <c r="E23" s="30">
        <f>0.6*AsphaltBinderBase</f>
        <v>348.85199999999998</v>
      </c>
      <c r="F23" s="30">
        <f>0.65*AsphaltBinderBase-0.01</f>
        <v>377.91300000000001</v>
      </c>
      <c r="G23" s="66">
        <f>-0.35*AsphaltBinderBase</f>
        <v>-203.49699999999999</v>
      </c>
      <c r="H23" s="8"/>
    </row>
    <row r="24" spans="1:8" x14ac:dyDescent="0.2">
      <c r="A24" s="8"/>
      <c r="B24" s="185"/>
      <c r="C24" s="49">
        <v>30</v>
      </c>
      <c r="D24" s="19">
        <v>35</v>
      </c>
      <c r="E24" s="30">
        <f>0.65*AsphaltBinderBase</f>
        <v>377.923</v>
      </c>
      <c r="F24" s="30">
        <f>0.7*AsphaltBinderBase-0.01</f>
        <v>406.98399999999998</v>
      </c>
      <c r="G24" s="66">
        <f>-0.3*AsphaltBinderBase</f>
        <v>-174.42599999999999</v>
      </c>
      <c r="H24" s="8"/>
    </row>
    <row r="25" spans="1:8" x14ac:dyDescent="0.2">
      <c r="A25" s="8"/>
      <c r="B25" s="185"/>
      <c r="C25" s="49">
        <v>25</v>
      </c>
      <c r="D25" s="19">
        <v>30</v>
      </c>
      <c r="E25" s="30">
        <f>0.7*AsphaltBinderBase</f>
        <v>406.99399999999997</v>
      </c>
      <c r="F25" s="30">
        <f>0.75*AsphaltBinderBase-0.01</f>
        <v>436.05499999999995</v>
      </c>
      <c r="G25" s="66">
        <f>-0.25*AsphaltBinderBase</f>
        <v>-145.35499999999999</v>
      </c>
      <c r="H25" s="8"/>
    </row>
    <row r="26" spans="1:8" x14ac:dyDescent="0.2">
      <c r="A26" s="8"/>
      <c r="B26" s="185"/>
      <c r="C26" s="49">
        <v>20</v>
      </c>
      <c r="D26" s="19">
        <v>25</v>
      </c>
      <c r="E26" s="30">
        <f>0.75*AsphaltBinderBase</f>
        <v>436.06499999999994</v>
      </c>
      <c r="F26" s="30">
        <f>0.8*AsphaltBinderBase-0.01</f>
        <v>465.12599999999998</v>
      </c>
      <c r="G26" s="66">
        <f>-0.2*AsphaltBinderBase</f>
        <v>-116.28399999999999</v>
      </c>
      <c r="H26" s="8"/>
    </row>
    <row r="27" spans="1:8" x14ac:dyDescent="0.2">
      <c r="A27" s="8"/>
      <c r="B27" s="185"/>
      <c r="C27" s="49">
        <v>15</v>
      </c>
      <c r="D27" s="19">
        <v>20</v>
      </c>
      <c r="E27" s="30">
        <f>0.8*AsphaltBinderBase</f>
        <v>465.13599999999997</v>
      </c>
      <c r="F27" s="30">
        <f>0.85*AsphaltBinderBase-0.01</f>
        <v>494.19699999999995</v>
      </c>
      <c r="G27" s="66">
        <f>-0.15*AsphaltBinderBase</f>
        <v>-87.212999999999994</v>
      </c>
      <c r="H27" s="8"/>
    </row>
    <row r="28" spans="1:8" x14ac:dyDescent="0.2">
      <c r="A28" s="8"/>
      <c r="B28" s="185"/>
      <c r="C28" s="49">
        <v>10</v>
      </c>
      <c r="D28" s="19">
        <v>15</v>
      </c>
      <c r="E28" s="30">
        <f>0.85*AsphaltBinderBase</f>
        <v>494.20699999999994</v>
      </c>
      <c r="F28" s="30">
        <f>0.9*AsphaltBinderBase-0.01</f>
        <v>523.26800000000003</v>
      </c>
      <c r="G28" s="66">
        <f>-0.1*AsphaltBinderBase</f>
        <v>-58.141999999999996</v>
      </c>
      <c r="H28" s="8"/>
    </row>
    <row r="29" spans="1:8" x14ac:dyDescent="0.2">
      <c r="A29" s="8"/>
      <c r="B29" s="185"/>
      <c r="C29" s="49">
        <v>5</v>
      </c>
      <c r="D29" s="19">
        <v>10</v>
      </c>
      <c r="E29" s="30">
        <f>0.9*AsphaltBinderBase</f>
        <v>523.27800000000002</v>
      </c>
      <c r="F29" s="30">
        <f>0.95*AsphaltBinderBase-0.01</f>
        <v>552.33899999999994</v>
      </c>
      <c r="G29" s="66">
        <f>-0.05*AsphaltBinderBase</f>
        <v>-29.070999999999998</v>
      </c>
      <c r="H29" s="8"/>
    </row>
    <row r="30" spans="1:8" x14ac:dyDescent="0.2">
      <c r="A30" s="8"/>
      <c r="B30" s="186"/>
      <c r="C30" s="56">
        <v>0</v>
      </c>
      <c r="D30" s="55">
        <v>5</v>
      </c>
      <c r="E30" s="58">
        <f>0.95*AsphaltBinderBase</f>
        <v>552.34899999999993</v>
      </c>
      <c r="F30" s="58">
        <f>1*AsphaltBinderBase-0.01</f>
        <v>581.41</v>
      </c>
      <c r="G30" s="68">
        <f>0*AsphaltBinderBase</f>
        <v>0</v>
      </c>
      <c r="H30" s="8"/>
    </row>
    <row r="31" spans="1:8" x14ac:dyDescent="0.2">
      <c r="A31" s="8"/>
      <c r="B31" s="180" t="s">
        <v>42</v>
      </c>
      <c r="C31" s="61">
        <v>0</v>
      </c>
      <c r="D31" s="44">
        <v>5</v>
      </c>
      <c r="E31" s="62">
        <f>1*AsphaltBinderBase</f>
        <v>581.41999999999996</v>
      </c>
      <c r="F31" s="62">
        <f>1.05*AsphaltBinderBase</f>
        <v>610.49099999999999</v>
      </c>
      <c r="G31" s="64">
        <f>0*AsphaltBinderBase</f>
        <v>0</v>
      </c>
      <c r="H31" s="8"/>
    </row>
    <row r="32" spans="1:8" x14ac:dyDescent="0.2">
      <c r="A32" s="8"/>
      <c r="B32" s="181"/>
      <c r="C32" s="63">
        <v>5</v>
      </c>
      <c r="D32" s="19">
        <v>10</v>
      </c>
      <c r="E32" s="30">
        <f>1.05*AsphaltBinderBase+0.01</f>
        <v>610.50099999999998</v>
      </c>
      <c r="F32" s="30">
        <f>1.1*AsphaltBinderBase</f>
        <v>639.56200000000001</v>
      </c>
      <c r="G32" s="65">
        <f>0.05*AsphaltBinderBase</f>
        <v>29.070999999999998</v>
      </c>
      <c r="H32" s="8"/>
    </row>
    <row r="33" spans="1:8" x14ac:dyDescent="0.2">
      <c r="A33" s="8"/>
      <c r="B33" s="181"/>
      <c r="C33" s="63">
        <v>10</v>
      </c>
      <c r="D33" s="19">
        <v>15</v>
      </c>
      <c r="E33" s="30">
        <f>1.1*AsphaltBinderBase+0.01</f>
        <v>639.572</v>
      </c>
      <c r="F33" s="30">
        <f>1.15*AsphaltBinderBase</f>
        <v>668.63299999999992</v>
      </c>
      <c r="G33" s="66">
        <f>0.1*AsphaltBinderBase</f>
        <v>58.141999999999996</v>
      </c>
      <c r="H33" s="8"/>
    </row>
    <row r="34" spans="1:8" x14ac:dyDescent="0.2">
      <c r="A34" s="8"/>
      <c r="B34" s="181"/>
      <c r="C34" s="63">
        <v>15</v>
      </c>
      <c r="D34" s="19">
        <v>20</v>
      </c>
      <c r="E34" s="30">
        <f>1.15*AsphaltBinderBase+0.01</f>
        <v>668.64299999999992</v>
      </c>
      <c r="F34" s="30">
        <f>1.2*AsphaltBinderBase</f>
        <v>697.70399999999995</v>
      </c>
      <c r="G34" s="65">
        <f>0.15*AsphaltBinderBase</f>
        <v>87.212999999999994</v>
      </c>
      <c r="H34" s="8"/>
    </row>
    <row r="35" spans="1:8" x14ac:dyDescent="0.2">
      <c r="A35" s="8"/>
      <c r="B35" s="181"/>
      <c r="C35" s="63">
        <v>20</v>
      </c>
      <c r="D35" s="19">
        <v>25</v>
      </c>
      <c r="E35" s="30">
        <f>1.2*AsphaltBinderBase+0.01</f>
        <v>697.71399999999994</v>
      </c>
      <c r="F35" s="30">
        <f>1.25*AsphaltBinderBase</f>
        <v>726.77499999999998</v>
      </c>
      <c r="G35" s="66">
        <f>0.2*AsphaltBinderBase</f>
        <v>116.28399999999999</v>
      </c>
      <c r="H35" s="8"/>
    </row>
    <row r="36" spans="1:8" x14ac:dyDescent="0.2">
      <c r="A36" s="8"/>
      <c r="B36" s="181"/>
      <c r="C36" s="63">
        <v>25</v>
      </c>
      <c r="D36" s="19">
        <v>30</v>
      </c>
      <c r="E36" s="30">
        <f>1.25*AsphaltBinderBase+0.01</f>
        <v>726.78499999999997</v>
      </c>
      <c r="F36" s="30">
        <f>1.3*AsphaltBinderBase</f>
        <v>755.846</v>
      </c>
      <c r="G36" s="65">
        <f>0.25*AsphaltBinderBase</f>
        <v>145.35499999999999</v>
      </c>
      <c r="H36" s="8"/>
    </row>
    <row r="37" spans="1:8" x14ac:dyDescent="0.2">
      <c r="A37" s="8"/>
      <c r="B37" s="181"/>
      <c r="C37" s="63">
        <v>30</v>
      </c>
      <c r="D37" s="19">
        <v>35</v>
      </c>
      <c r="E37" s="30">
        <f>1.3*AsphaltBinderBase+0.01</f>
        <v>755.85599999999999</v>
      </c>
      <c r="F37" s="30">
        <f>1.35*AsphaltBinderBase</f>
        <v>784.91700000000003</v>
      </c>
      <c r="G37" s="66">
        <f>0.3*AsphaltBinderBase</f>
        <v>174.42599999999999</v>
      </c>
      <c r="H37" s="8"/>
    </row>
    <row r="38" spans="1:8" x14ac:dyDescent="0.2">
      <c r="A38" s="8"/>
      <c r="B38" s="181"/>
      <c r="C38" s="63">
        <v>35</v>
      </c>
      <c r="D38" s="19">
        <v>40</v>
      </c>
      <c r="E38" s="30">
        <f>1.35*AsphaltBinderBase+0.01</f>
        <v>784.92700000000002</v>
      </c>
      <c r="F38" s="30">
        <f>1.4*AsphaltBinderBase</f>
        <v>813.98799999999994</v>
      </c>
      <c r="G38" s="65">
        <f>0.35*AsphaltBinderBase</f>
        <v>203.49699999999999</v>
      </c>
      <c r="H38" s="8"/>
    </row>
    <row r="39" spans="1:8" x14ac:dyDescent="0.2">
      <c r="A39" s="8"/>
      <c r="B39" s="181"/>
      <c r="C39" s="63">
        <v>40</v>
      </c>
      <c r="D39" s="19">
        <v>45</v>
      </c>
      <c r="E39" s="30">
        <f>1.4*AsphaltBinderBase+0.01</f>
        <v>813.99799999999993</v>
      </c>
      <c r="F39" s="30">
        <f>1.45*AsphaltBinderBase</f>
        <v>843.05899999999997</v>
      </c>
      <c r="G39" s="66">
        <f>0.4*AsphaltBinderBase</f>
        <v>232.56799999999998</v>
      </c>
      <c r="H39" s="8"/>
    </row>
    <row r="40" spans="1:8" x14ac:dyDescent="0.2">
      <c r="A40" s="8"/>
      <c r="B40" s="181"/>
      <c r="C40" s="63">
        <v>45</v>
      </c>
      <c r="D40" s="19">
        <v>50</v>
      </c>
      <c r="E40" s="30">
        <f>1.45*AsphaltBinderBase+0.01</f>
        <v>843.06899999999996</v>
      </c>
      <c r="F40" s="30">
        <f>1.5*AsphaltBinderBase</f>
        <v>872.12999999999988</v>
      </c>
      <c r="G40" s="65">
        <f>0.45*AsphaltBinderBase</f>
        <v>261.63900000000001</v>
      </c>
      <c r="H40" s="8"/>
    </row>
    <row r="41" spans="1:8" x14ac:dyDescent="0.2">
      <c r="A41" s="8"/>
      <c r="B41" s="181"/>
      <c r="C41" s="63">
        <v>50</v>
      </c>
      <c r="D41" s="19">
        <v>55</v>
      </c>
      <c r="E41" s="30">
        <f>1.5*AsphaltBinderBase+0.01</f>
        <v>872.13999999999987</v>
      </c>
      <c r="F41" s="30">
        <f>1.55*AsphaltBinderBase</f>
        <v>901.20099999999991</v>
      </c>
      <c r="G41" s="66">
        <f>0.5*AsphaltBinderBase</f>
        <v>290.70999999999998</v>
      </c>
      <c r="H41" s="8"/>
    </row>
    <row r="42" spans="1:8" x14ac:dyDescent="0.2">
      <c r="A42" s="8"/>
      <c r="B42" s="181"/>
      <c r="C42" s="63">
        <v>55</v>
      </c>
      <c r="D42" s="19">
        <v>60</v>
      </c>
      <c r="E42" s="30">
        <f>1.55*AsphaltBinderBase+0.01</f>
        <v>901.2109999999999</v>
      </c>
      <c r="F42" s="30">
        <f>1.6*AsphaltBinderBase</f>
        <v>930.27199999999993</v>
      </c>
      <c r="G42" s="65">
        <f>0.55*AsphaltBinderBase</f>
        <v>319.78100000000001</v>
      </c>
      <c r="H42" s="8"/>
    </row>
    <row r="43" spans="1:8" x14ac:dyDescent="0.2">
      <c r="A43" s="8"/>
      <c r="B43" s="181"/>
      <c r="C43" s="63">
        <v>60</v>
      </c>
      <c r="D43" s="19">
        <v>65</v>
      </c>
      <c r="E43" s="30">
        <f>1.6*AsphaltBinderBase+0.01</f>
        <v>930.28199999999993</v>
      </c>
      <c r="F43" s="30">
        <f>1.65*AsphaltBinderBase</f>
        <v>959.34299999999985</v>
      </c>
      <c r="G43" s="66">
        <f>0.6*AsphaltBinderBase</f>
        <v>348.85199999999998</v>
      </c>
      <c r="H43" s="8"/>
    </row>
    <row r="44" spans="1:8" x14ac:dyDescent="0.2">
      <c r="A44" s="8"/>
      <c r="B44" s="181"/>
      <c r="C44" s="63">
        <v>65</v>
      </c>
      <c r="D44" s="19">
        <v>70</v>
      </c>
      <c r="E44" s="30">
        <f>1.65*AsphaltBinderBase+0.01</f>
        <v>959.35299999999984</v>
      </c>
      <c r="F44" s="30">
        <f>1.7*AsphaltBinderBase</f>
        <v>988.41399999999987</v>
      </c>
      <c r="G44" s="65">
        <f>0.65*AsphaltBinderBase</f>
        <v>377.923</v>
      </c>
      <c r="H44" s="8"/>
    </row>
    <row r="45" spans="1:8" x14ac:dyDescent="0.2">
      <c r="A45" s="8"/>
      <c r="B45" s="181"/>
      <c r="C45" s="63">
        <v>70</v>
      </c>
      <c r="D45" s="19">
        <v>75</v>
      </c>
      <c r="E45" s="30">
        <f>1.7*AsphaltBinderBase+0.01</f>
        <v>988.42399999999986</v>
      </c>
      <c r="F45" s="30">
        <f>1.75*AsphaltBinderBase</f>
        <v>1017.4849999999999</v>
      </c>
      <c r="G45" s="66">
        <f>0.7*AsphaltBinderBase</f>
        <v>406.99399999999997</v>
      </c>
      <c r="H45" s="8"/>
    </row>
    <row r="46" spans="1:8" x14ac:dyDescent="0.2">
      <c r="A46" s="8"/>
      <c r="B46" s="181"/>
      <c r="C46" s="63">
        <v>75</v>
      </c>
      <c r="D46" s="19">
        <v>80</v>
      </c>
      <c r="E46" s="30">
        <f>1.75*AsphaltBinderBase+0.01</f>
        <v>1017.4949999999999</v>
      </c>
      <c r="F46" s="30">
        <f>1.8*AsphaltBinderBase</f>
        <v>1046.556</v>
      </c>
      <c r="G46" s="65">
        <f>0.75*AsphaltBinderBase</f>
        <v>436.06499999999994</v>
      </c>
      <c r="H46" s="8"/>
    </row>
    <row r="47" spans="1:8" x14ac:dyDescent="0.2">
      <c r="A47" s="8"/>
      <c r="B47" s="181"/>
      <c r="C47" s="63">
        <v>80</v>
      </c>
      <c r="D47" s="19">
        <v>85</v>
      </c>
      <c r="E47" s="30">
        <f>1.8*AsphaltBinderBase+0.01</f>
        <v>1046.566</v>
      </c>
      <c r="F47" s="30">
        <f>1.85*AsphaltBinderBase</f>
        <v>1075.627</v>
      </c>
      <c r="G47" s="66">
        <f>0.8*AsphaltBinderBase</f>
        <v>465.13599999999997</v>
      </c>
      <c r="H47" s="8"/>
    </row>
    <row r="48" spans="1:8" x14ac:dyDescent="0.2">
      <c r="A48" s="8"/>
      <c r="B48" s="181"/>
      <c r="C48" s="63">
        <v>85</v>
      </c>
      <c r="D48" s="19">
        <v>90</v>
      </c>
      <c r="E48" s="30">
        <f>1.85*AsphaltBinderBase+0.01</f>
        <v>1075.6369999999999</v>
      </c>
      <c r="F48" s="30">
        <f>1.9*AsphaltBinderBase</f>
        <v>1104.6979999999999</v>
      </c>
      <c r="G48" s="65">
        <f>0.85*AsphaltBinderBase</f>
        <v>494.20699999999994</v>
      </c>
      <c r="H48" s="8"/>
    </row>
    <row r="49" spans="1:8" x14ac:dyDescent="0.2">
      <c r="A49" s="8"/>
      <c r="B49" s="181"/>
      <c r="C49" s="63">
        <v>90</v>
      </c>
      <c r="D49" s="19">
        <v>95</v>
      </c>
      <c r="E49" s="30">
        <f>1.9*AsphaltBinderBase+0.01</f>
        <v>1104.7079999999999</v>
      </c>
      <c r="F49" s="30">
        <f>1.95*AsphaltBinderBase</f>
        <v>1133.769</v>
      </c>
      <c r="G49" s="66">
        <f>0.9*AsphaltBinderBase</f>
        <v>523.27800000000002</v>
      </c>
      <c r="H49" s="8"/>
    </row>
    <row r="50" spans="1:8" x14ac:dyDescent="0.2">
      <c r="A50" s="8"/>
      <c r="B50" s="181"/>
      <c r="C50" s="63">
        <v>95</v>
      </c>
      <c r="D50" s="19">
        <v>100</v>
      </c>
      <c r="E50" s="30">
        <f>1.95*AsphaltBinderBase+0.01</f>
        <v>1133.779</v>
      </c>
      <c r="F50" s="30">
        <f>2*AsphaltBinderBase</f>
        <v>1162.8399999999999</v>
      </c>
      <c r="G50" s="65">
        <f>0.95*AsphaltBinderBase</f>
        <v>552.34899999999993</v>
      </c>
      <c r="H50" s="8"/>
    </row>
    <row r="51" spans="1:8" x14ac:dyDescent="0.2">
      <c r="A51" s="8"/>
      <c r="B51" s="181"/>
      <c r="C51" s="63">
        <v>100</v>
      </c>
      <c r="D51" s="19">
        <v>105</v>
      </c>
      <c r="E51" s="30">
        <f>2*AsphaltBinderBase+0.01</f>
        <v>1162.8499999999999</v>
      </c>
      <c r="F51" s="30">
        <f>2.05*AsphaltBinderBase</f>
        <v>1191.9109999999998</v>
      </c>
      <c r="G51" s="66">
        <f>1*AsphaltBinderBase</f>
        <v>581.41999999999996</v>
      </c>
      <c r="H51" s="8"/>
    </row>
    <row r="52" spans="1:8" x14ac:dyDescent="0.2">
      <c r="A52" s="8"/>
      <c r="B52" s="181"/>
      <c r="C52" s="63">
        <v>105</v>
      </c>
      <c r="D52" s="19">
        <v>110</v>
      </c>
      <c r="E52" s="30">
        <f>2.05*AsphaltBinderBase+0.01</f>
        <v>1191.9209999999998</v>
      </c>
      <c r="F52" s="30">
        <f>2.1*AsphaltBinderBase</f>
        <v>1220.982</v>
      </c>
      <c r="G52" s="65">
        <f>1.05*AsphaltBinderBase</f>
        <v>610.49099999999999</v>
      </c>
      <c r="H52" s="8"/>
    </row>
    <row r="53" spans="1:8" x14ac:dyDescent="0.2">
      <c r="A53" s="8"/>
      <c r="B53" s="181"/>
      <c r="C53" s="63">
        <v>110</v>
      </c>
      <c r="D53" s="19">
        <v>115</v>
      </c>
      <c r="E53" s="30">
        <f>2.1*AsphaltBinderBase+0.01</f>
        <v>1220.992</v>
      </c>
      <c r="F53" s="30">
        <f>2.15*AsphaltBinderBase</f>
        <v>1250.0529999999999</v>
      </c>
      <c r="G53" s="66">
        <f>1.1*AsphaltBinderBase</f>
        <v>639.56200000000001</v>
      </c>
      <c r="H53" s="8"/>
    </row>
    <row r="54" spans="1:8" x14ac:dyDescent="0.2">
      <c r="A54" s="8"/>
      <c r="B54" s="181"/>
      <c r="C54" s="63">
        <v>115</v>
      </c>
      <c r="D54" s="19">
        <v>120</v>
      </c>
      <c r="E54" s="30">
        <f>2.15*AsphaltBinderBase+0.01</f>
        <v>1250.0629999999999</v>
      </c>
      <c r="F54" s="30">
        <f>2.2*AsphaltBinderBase</f>
        <v>1279.124</v>
      </c>
      <c r="G54" s="65">
        <f>1.15*AsphaltBinderBase</f>
        <v>668.63299999999992</v>
      </c>
      <c r="H54" s="8"/>
    </row>
    <row r="55" spans="1:8" x14ac:dyDescent="0.2">
      <c r="A55" s="8"/>
      <c r="B55" s="181"/>
      <c r="C55" s="63">
        <v>120</v>
      </c>
      <c r="D55" s="19">
        <v>125</v>
      </c>
      <c r="E55" s="30">
        <f>2.2*AsphaltBinderBase+0.01</f>
        <v>1279.134</v>
      </c>
      <c r="F55" s="30">
        <f>2.25*AsphaltBinderBase</f>
        <v>1308.1949999999999</v>
      </c>
      <c r="G55" s="66">
        <f>1.2*AsphaltBinderBase</f>
        <v>697.70399999999995</v>
      </c>
      <c r="H55" s="8"/>
    </row>
    <row r="56" spans="1:8" x14ac:dyDescent="0.2">
      <c r="A56" s="8"/>
      <c r="B56" s="181"/>
      <c r="C56" s="63">
        <v>125</v>
      </c>
      <c r="D56" s="19">
        <v>130</v>
      </c>
      <c r="E56" s="30">
        <f>2.25*AsphaltBinderBase+0.01</f>
        <v>1308.2049999999999</v>
      </c>
      <c r="F56" s="30">
        <f>2.3*AsphaltBinderBase</f>
        <v>1337.2659999999998</v>
      </c>
      <c r="G56" s="65">
        <f>1.25*AsphaltBinderBase</f>
        <v>726.77499999999998</v>
      </c>
      <c r="H56" s="8"/>
    </row>
    <row r="57" spans="1:8" x14ac:dyDescent="0.2">
      <c r="A57" s="8"/>
      <c r="B57" s="181"/>
      <c r="C57" s="63">
        <v>130</v>
      </c>
      <c r="D57" s="19">
        <v>135</v>
      </c>
      <c r="E57" s="30">
        <f>2.3*AsphaltBinderBase+0.01</f>
        <v>1337.2759999999998</v>
      </c>
      <c r="F57" s="30">
        <f>2.35*AsphaltBinderBase</f>
        <v>1366.337</v>
      </c>
      <c r="G57" s="66">
        <f>1.3*AsphaltBinderBase</f>
        <v>755.846</v>
      </c>
      <c r="H57" s="8"/>
    </row>
    <row r="58" spans="1:8" x14ac:dyDescent="0.2">
      <c r="A58" s="8"/>
      <c r="B58" s="181"/>
      <c r="C58" s="63">
        <v>135</v>
      </c>
      <c r="D58" s="19">
        <v>140</v>
      </c>
      <c r="E58" s="30">
        <f>2.35*AsphaltBinderBase+0.01</f>
        <v>1366.347</v>
      </c>
      <c r="F58" s="30">
        <f>2.4*AsphaltBinderBase</f>
        <v>1395.4079999999999</v>
      </c>
      <c r="G58" s="65">
        <f>1.35*AsphaltBinderBase</f>
        <v>784.91700000000003</v>
      </c>
      <c r="H58" s="8"/>
    </row>
    <row r="59" spans="1:8" x14ac:dyDescent="0.2">
      <c r="A59" s="8"/>
      <c r="B59" s="181"/>
      <c r="C59" s="63">
        <v>140</v>
      </c>
      <c r="D59" s="19">
        <v>145</v>
      </c>
      <c r="E59" s="30">
        <f>2.4*AsphaltBinderBase+0.01</f>
        <v>1395.4179999999999</v>
      </c>
      <c r="F59" s="30">
        <f>2.45*AsphaltBinderBase</f>
        <v>1424.479</v>
      </c>
      <c r="G59" s="66">
        <f>1.4*AsphaltBinderBase</f>
        <v>813.98799999999994</v>
      </c>
      <c r="H59" s="8"/>
    </row>
    <row r="60" spans="1:8" x14ac:dyDescent="0.2">
      <c r="A60" s="8"/>
      <c r="B60" s="181"/>
      <c r="C60" s="63">
        <v>145</v>
      </c>
      <c r="D60" s="19">
        <v>150</v>
      </c>
      <c r="E60" s="30">
        <f>2.45*AsphaltBinderBase+0.01</f>
        <v>1424.489</v>
      </c>
      <c r="F60" s="30">
        <f>2.5*AsphaltBinderBase</f>
        <v>1453.55</v>
      </c>
      <c r="G60" s="65">
        <f>1.45*AsphaltBinderBase</f>
        <v>843.05899999999997</v>
      </c>
      <c r="H60" s="8"/>
    </row>
    <row r="61" spans="1:8" x14ac:dyDescent="0.2">
      <c r="A61" s="8"/>
      <c r="B61" s="181"/>
      <c r="C61" s="63">
        <v>150</v>
      </c>
      <c r="D61" s="19">
        <v>155</v>
      </c>
      <c r="E61" s="30">
        <f>2.5*AsphaltBinderBase+0.01</f>
        <v>1453.56</v>
      </c>
      <c r="F61" s="30">
        <f>2.55*AsphaltBinderBase</f>
        <v>1482.6209999999999</v>
      </c>
      <c r="G61" s="66">
        <f>1.5*AsphaltBinderBase</f>
        <v>872.12999999999988</v>
      </c>
      <c r="H61" s="8"/>
    </row>
    <row r="62" spans="1:8" x14ac:dyDescent="0.2">
      <c r="A62" s="8"/>
      <c r="B62" s="181"/>
      <c r="C62" s="63">
        <v>155</v>
      </c>
      <c r="D62" s="19">
        <v>160</v>
      </c>
      <c r="E62" s="30">
        <f>2.55*AsphaltBinderBase+0.01</f>
        <v>1482.6309999999999</v>
      </c>
      <c r="F62" s="30">
        <f>2.6*AsphaltBinderBase</f>
        <v>1511.692</v>
      </c>
      <c r="G62" s="65">
        <f>1.55*AsphaltBinderBase</f>
        <v>901.20099999999991</v>
      </c>
      <c r="H62" s="8"/>
    </row>
    <row r="63" spans="1:8" x14ac:dyDescent="0.2">
      <c r="A63" s="8"/>
      <c r="B63" s="181"/>
      <c r="C63" s="63">
        <v>160</v>
      </c>
      <c r="D63" s="19">
        <v>165</v>
      </c>
      <c r="E63" s="30">
        <f>2.6*AsphaltBinderBase+0.01</f>
        <v>1511.702</v>
      </c>
      <c r="F63" s="30">
        <f>2.65*AsphaltBinderBase</f>
        <v>1540.7629999999999</v>
      </c>
      <c r="G63" s="66">
        <f>1.6*AsphaltBinderBase</f>
        <v>930.27199999999993</v>
      </c>
      <c r="H63" s="8"/>
    </row>
    <row r="64" spans="1:8" x14ac:dyDescent="0.2">
      <c r="A64" s="8"/>
      <c r="B64" s="181"/>
      <c r="C64" s="63">
        <v>165</v>
      </c>
      <c r="D64" s="19">
        <v>170</v>
      </c>
      <c r="E64" s="30">
        <f>2.65*AsphaltBinderBase+0.01</f>
        <v>1540.7729999999999</v>
      </c>
      <c r="F64" s="30">
        <f>2.7*AsphaltBinderBase</f>
        <v>1569.8340000000001</v>
      </c>
      <c r="G64" s="65">
        <f>1.65*AsphaltBinderBase</f>
        <v>959.34299999999985</v>
      </c>
      <c r="H64" s="8"/>
    </row>
    <row r="65" spans="1:8" x14ac:dyDescent="0.2">
      <c r="A65" s="8"/>
      <c r="B65" s="181"/>
      <c r="C65" s="63">
        <v>170</v>
      </c>
      <c r="D65" s="19">
        <v>175</v>
      </c>
      <c r="E65" s="30">
        <f>2.7*AsphaltBinderBase+0.01</f>
        <v>1569.8440000000001</v>
      </c>
      <c r="F65" s="30">
        <f>2.75*AsphaltBinderBase</f>
        <v>1598.905</v>
      </c>
      <c r="G65" s="66">
        <f>1.7*AsphaltBinderBase</f>
        <v>988.41399999999987</v>
      </c>
      <c r="H65" s="8"/>
    </row>
    <row r="66" spans="1:8" x14ac:dyDescent="0.2">
      <c r="A66" s="8"/>
      <c r="B66" s="181"/>
      <c r="C66" s="63">
        <v>175</v>
      </c>
      <c r="D66" s="19">
        <v>180</v>
      </c>
      <c r="E66" s="30">
        <f>2.75*AsphaltBinderBase+0.01</f>
        <v>1598.915</v>
      </c>
      <c r="F66" s="30">
        <f>2.8*AsphaltBinderBase</f>
        <v>1627.9759999999999</v>
      </c>
      <c r="G66" s="65">
        <f>1.75*AsphaltBinderBase</f>
        <v>1017.4849999999999</v>
      </c>
      <c r="H66" s="8"/>
    </row>
    <row r="67" spans="1:8" x14ac:dyDescent="0.2">
      <c r="A67" s="8"/>
      <c r="B67" s="181"/>
      <c r="C67" s="63">
        <v>180</v>
      </c>
      <c r="D67" s="19">
        <v>185</v>
      </c>
      <c r="E67" s="30">
        <f>2.8*AsphaltBinderBase+0.01</f>
        <v>1627.9859999999999</v>
      </c>
      <c r="F67" s="30">
        <f>2.85*AsphaltBinderBase</f>
        <v>1657.047</v>
      </c>
      <c r="G67" s="66">
        <f>1.8*AsphaltBinderBase</f>
        <v>1046.556</v>
      </c>
      <c r="H67" s="8"/>
    </row>
    <row r="68" spans="1:8" x14ac:dyDescent="0.2">
      <c r="A68" s="8"/>
      <c r="B68" s="181"/>
      <c r="C68" s="63">
        <v>185</v>
      </c>
      <c r="D68" s="19">
        <v>190</v>
      </c>
      <c r="E68" s="30">
        <f>2.85*AsphaltBinderBase+0.01</f>
        <v>1657.057</v>
      </c>
      <c r="F68" s="30">
        <f>2.9*AsphaltBinderBase</f>
        <v>1686.1179999999999</v>
      </c>
      <c r="G68" s="65">
        <f>1.85*AsphaltBinderBase</f>
        <v>1075.627</v>
      </c>
      <c r="H68" s="8"/>
    </row>
    <row r="69" spans="1:8" x14ac:dyDescent="0.2">
      <c r="A69" s="8"/>
      <c r="B69" s="181"/>
      <c r="C69" s="63">
        <v>190</v>
      </c>
      <c r="D69" s="19">
        <v>195</v>
      </c>
      <c r="E69" s="30">
        <f>2.9*AsphaltBinderBase+0.01</f>
        <v>1686.1279999999999</v>
      </c>
      <c r="F69" s="30">
        <f>2.95*AsphaltBinderBase</f>
        <v>1715.1890000000001</v>
      </c>
      <c r="G69" s="66">
        <f>1.9*AsphaltBinderBase</f>
        <v>1104.6979999999999</v>
      </c>
      <c r="H69" s="8"/>
    </row>
    <row r="70" spans="1:8" x14ac:dyDescent="0.2">
      <c r="A70" s="8"/>
      <c r="B70" s="181"/>
      <c r="C70" s="63">
        <v>195</v>
      </c>
      <c r="D70" s="19">
        <v>200</v>
      </c>
      <c r="E70" s="30">
        <f>2.95*AsphaltBinderBase+0.01</f>
        <v>1715.1990000000001</v>
      </c>
      <c r="F70" s="30">
        <f>3*AsphaltBinderBase</f>
        <v>1744.2599999999998</v>
      </c>
      <c r="G70" s="67">
        <f>1.95*AsphaltBinderBase</f>
        <v>1133.769</v>
      </c>
      <c r="H70" s="8"/>
    </row>
    <row r="71" spans="1:8" x14ac:dyDescent="0.2">
      <c r="A71" s="8"/>
      <c r="B71" s="182"/>
      <c r="C71" s="63">
        <v>200</v>
      </c>
      <c r="D71" s="19">
        <v>205</v>
      </c>
      <c r="E71" s="30">
        <f>3*AsphaltBinderBase+0.01</f>
        <v>1744.2699999999998</v>
      </c>
      <c r="F71" s="30">
        <f>3.05*AsphaltBinderBase</f>
        <v>1773.3309999999997</v>
      </c>
      <c r="G71" s="67">
        <f>2*AsphaltBinderBase</f>
        <v>1162.8399999999999</v>
      </c>
      <c r="H71" s="8"/>
    </row>
    <row r="72" spans="1:8" x14ac:dyDescent="0.2">
      <c r="A72" s="8"/>
      <c r="B72" s="182"/>
      <c r="C72" s="63">
        <v>205</v>
      </c>
      <c r="D72" s="19">
        <v>210</v>
      </c>
      <c r="E72" s="30">
        <f>3.05*AsphaltBinderBase+0.01</f>
        <v>1773.3409999999997</v>
      </c>
      <c r="F72" s="30">
        <f>3.1*AsphaltBinderBase</f>
        <v>1802.4019999999998</v>
      </c>
      <c r="G72" s="67">
        <f>2.05*AsphaltBinderBase</f>
        <v>1191.9109999999998</v>
      </c>
      <c r="H72" s="8"/>
    </row>
    <row r="73" spans="1:8" x14ac:dyDescent="0.2">
      <c r="A73" s="8"/>
      <c r="B73" s="182"/>
      <c r="C73" s="63">
        <v>210</v>
      </c>
      <c r="D73" s="19">
        <v>215</v>
      </c>
      <c r="E73" s="30">
        <f>3.1*AsphaltBinderBase+0.01</f>
        <v>1802.4119999999998</v>
      </c>
      <c r="F73" s="30">
        <f>3.15*AsphaltBinderBase</f>
        <v>1831.4729999999997</v>
      </c>
      <c r="G73" s="67">
        <f>2.1*AsphaltBinderBase</f>
        <v>1220.982</v>
      </c>
      <c r="H73" s="8"/>
    </row>
    <row r="74" spans="1:8" x14ac:dyDescent="0.2">
      <c r="A74" s="8"/>
      <c r="B74" s="182"/>
      <c r="C74" s="63">
        <v>215</v>
      </c>
      <c r="D74" s="19">
        <v>220</v>
      </c>
      <c r="E74" s="30">
        <f>3.15*AsphaltBinderBase+0.01</f>
        <v>1831.4829999999997</v>
      </c>
      <c r="F74" s="30">
        <f>3.2*AsphaltBinderBase</f>
        <v>1860.5439999999999</v>
      </c>
      <c r="G74" s="67">
        <f>2.15*AsphaltBinderBase</f>
        <v>1250.0529999999999</v>
      </c>
      <c r="H74" s="8"/>
    </row>
    <row r="75" spans="1:8" x14ac:dyDescent="0.2">
      <c r="A75" s="8"/>
      <c r="B75" s="182"/>
      <c r="C75" s="63">
        <v>220</v>
      </c>
      <c r="D75" s="19">
        <v>225</v>
      </c>
      <c r="E75" s="30">
        <f>3.2*AsphaltBinderBase+0.01</f>
        <v>1860.5539999999999</v>
      </c>
      <c r="F75" s="30">
        <f>3.25*AsphaltBinderBase</f>
        <v>1889.6149999999998</v>
      </c>
      <c r="G75" s="67">
        <f>2.2*AsphaltBinderBase</f>
        <v>1279.124</v>
      </c>
      <c r="H75" s="8"/>
    </row>
    <row r="76" spans="1:8" x14ac:dyDescent="0.2">
      <c r="A76" s="8"/>
      <c r="B76" s="182"/>
      <c r="C76" s="63">
        <v>225</v>
      </c>
      <c r="D76" s="19">
        <v>230</v>
      </c>
      <c r="E76" s="30">
        <f>3.25*AsphaltBinderBase+0.01</f>
        <v>1889.6249999999998</v>
      </c>
      <c r="F76" s="30">
        <f>3.3*AsphaltBinderBase</f>
        <v>1918.6859999999997</v>
      </c>
      <c r="G76" s="67">
        <f>2.25*AsphaltBinderBase</f>
        <v>1308.1949999999999</v>
      </c>
      <c r="H76" s="8"/>
    </row>
    <row r="77" spans="1:8" x14ac:dyDescent="0.2">
      <c r="A77" s="8"/>
      <c r="B77" s="182"/>
      <c r="C77" s="63">
        <v>230</v>
      </c>
      <c r="D77" s="19">
        <v>235</v>
      </c>
      <c r="E77" s="30">
        <f>3.3*AsphaltBinderBase+0.01</f>
        <v>1918.6959999999997</v>
      </c>
      <c r="F77" s="30">
        <f>3.35*AsphaltBinderBase</f>
        <v>1947.7569999999998</v>
      </c>
      <c r="G77" s="67">
        <f>2.3*AsphaltBinderBase</f>
        <v>1337.2659999999998</v>
      </c>
      <c r="H77" s="8"/>
    </row>
    <row r="78" spans="1:8" x14ac:dyDescent="0.2">
      <c r="A78" s="8"/>
      <c r="B78" s="182"/>
      <c r="C78" s="63">
        <v>235</v>
      </c>
      <c r="D78" s="19">
        <v>240</v>
      </c>
      <c r="E78" s="30">
        <f>3.35*AsphaltBinderBase+0.01</f>
        <v>1947.7669999999998</v>
      </c>
      <c r="F78" s="30">
        <f>3.4*AsphaltBinderBase</f>
        <v>1976.8279999999997</v>
      </c>
      <c r="G78" s="67">
        <f>2.35*AsphaltBinderBase</f>
        <v>1366.337</v>
      </c>
      <c r="H78" s="8"/>
    </row>
    <row r="79" spans="1:8" x14ac:dyDescent="0.2">
      <c r="A79" s="8"/>
      <c r="B79" s="182"/>
      <c r="C79" s="63">
        <v>240</v>
      </c>
      <c r="D79" s="19">
        <v>245</v>
      </c>
      <c r="E79" s="30">
        <f>3.4*AsphaltBinderBase+0.01</f>
        <v>1976.8379999999997</v>
      </c>
      <c r="F79" s="30">
        <f>3.45*AsphaltBinderBase</f>
        <v>2005.8989999999999</v>
      </c>
      <c r="G79" s="67">
        <f>2.4*AsphaltBinderBase</f>
        <v>1395.4079999999999</v>
      </c>
      <c r="H79" s="8"/>
    </row>
    <row r="80" spans="1:8" x14ac:dyDescent="0.2">
      <c r="A80" s="8"/>
      <c r="B80" s="182"/>
      <c r="C80" s="63">
        <v>245</v>
      </c>
      <c r="D80" s="19">
        <v>250</v>
      </c>
      <c r="E80" s="30">
        <f>3.45*AsphaltBinderBase+0.01</f>
        <v>2005.9089999999999</v>
      </c>
      <c r="F80" s="30">
        <f>3.5*AsphaltBinderBase</f>
        <v>2034.9699999999998</v>
      </c>
      <c r="G80" s="67">
        <f>2.45*AsphaltBinderBase</f>
        <v>1424.479</v>
      </c>
      <c r="H80" s="8"/>
    </row>
    <row r="81" spans="1:8" x14ac:dyDescent="0.2">
      <c r="A81" s="8"/>
      <c r="B81" s="182"/>
      <c r="C81" s="63">
        <v>250</v>
      </c>
      <c r="D81" s="19">
        <v>255</v>
      </c>
      <c r="E81" s="30">
        <f>3.5*AsphaltBinderBase+0.01</f>
        <v>2034.9799999999998</v>
      </c>
      <c r="F81" s="30">
        <f>3.55*AsphaltBinderBase</f>
        <v>2064.0409999999997</v>
      </c>
      <c r="G81" s="67">
        <f>2.5*AsphaltBinderBase</f>
        <v>1453.55</v>
      </c>
      <c r="H81" s="8"/>
    </row>
    <row r="82" spans="1:8" x14ac:dyDescent="0.2">
      <c r="A82" s="8"/>
      <c r="B82" s="182"/>
      <c r="C82" s="63">
        <v>255</v>
      </c>
      <c r="D82" s="19">
        <v>260</v>
      </c>
      <c r="E82" s="30">
        <f>3.55*AsphaltBinderBase+0.01</f>
        <v>2064.0509999999999</v>
      </c>
      <c r="F82" s="30">
        <f>3.6*AsphaltBinderBase</f>
        <v>2093.1120000000001</v>
      </c>
      <c r="G82" s="67">
        <f>2.55*AsphaltBinderBase</f>
        <v>1482.6209999999999</v>
      </c>
      <c r="H82" s="8"/>
    </row>
    <row r="83" spans="1:8" x14ac:dyDescent="0.2">
      <c r="A83" s="8"/>
      <c r="B83" s="182"/>
      <c r="C83" s="63">
        <v>260</v>
      </c>
      <c r="D83" s="19">
        <v>265</v>
      </c>
      <c r="E83" s="30">
        <f>3.6*AsphaltBinderBase+0.01</f>
        <v>2093.1220000000003</v>
      </c>
      <c r="F83" s="30">
        <f>3.65*AsphaltBinderBase</f>
        <v>2122.183</v>
      </c>
      <c r="G83" s="67">
        <f>2.6*AsphaltBinderBase</f>
        <v>1511.692</v>
      </c>
      <c r="H83" s="8"/>
    </row>
    <row r="84" spans="1:8" x14ac:dyDescent="0.2">
      <c r="A84" s="8"/>
      <c r="B84" s="182"/>
      <c r="C84" s="63">
        <v>265</v>
      </c>
      <c r="D84" s="19">
        <v>270</v>
      </c>
      <c r="E84" s="30">
        <f>3.65*AsphaltBinderBase+0.01</f>
        <v>2122.1930000000002</v>
      </c>
      <c r="F84" s="30">
        <f>3.7*AsphaltBinderBase</f>
        <v>2151.2539999999999</v>
      </c>
      <c r="G84" s="67">
        <f>2.65*AsphaltBinderBase</f>
        <v>1540.7629999999999</v>
      </c>
      <c r="H84" s="8"/>
    </row>
    <row r="85" spans="1:8" x14ac:dyDescent="0.2">
      <c r="A85" s="8"/>
      <c r="B85" s="182"/>
      <c r="C85" s="63">
        <v>270</v>
      </c>
      <c r="D85" s="19">
        <v>275</v>
      </c>
      <c r="E85" s="30">
        <f>3.7*AsphaltBinderBase+0.01</f>
        <v>2151.2640000000001</v>
      </c>
      <c r="F85" s="30">
        <f>3.75*AsphaltBinderBase</f>
        <v>2180.3249999999998</v>
      </c>
      <c r="G85" s="67">
        <f>2.7*AsphaltBinderBase</f>
        <v>1569.8340000000001</v>
      </c>
      <c r="H85" s="8"/>
    </row>
    <row r="86" spans="1:8" x14ac:dyDescent="0.2">
      <c r="A86" s="8"/>
      <c r="B86" s="182"/>
      <c r="C86" s="63">
        <v>275</v>
      </c>
      <c r="D86" s="19">
        <v>280</v>
      </c>
      <c r="E86" s="30">
        <f>3.75*AsphaltBinderBase+0.01</f>
        <v>2180.335</v>
      </c>
      <c r="F86" s="30">
        <f>3.8*AsphaltBinderBase</f>
        <v>2209.3959999999997</v>
      </c>
      <c r="G86" s="67">
        <f>2.75*AsphaltBinderBase</f>
        <v>1598.905</v>
      </c>
      <c r="H86" s="8"/>
    </row>
    <row r="87" spans="1:8" x14ac:dyDescent="0.2">
      <c r="A87" s="8"/>
      <c r="B87" s="182"/>
      <c r="C87" s="63">
        <v>280</v>
      </c>
      <c r="D87" s="19">
        <v>285</v>
      </c>
      <c r="E87" s="30">
        <f>3.8*AsphaltBinderBase+0.01</f>
        <v>2209.4059999999999</v>
      </c>
      <c r="F87" s="30">
        <f>3.85*AsphaltBinderBase</f>
        <v>2238.4670000000001</v>
      </c>
      <c r="G87" s="67">
        <f>2.8*AsphaltBinderBase</f>
        <v>1627.9759999999999</v>
      </c>
      <c r="H87" s="8"/>
    </row>
    <row r="88" spans="1:8" x14ac:dyDescent="0.2">
      <c r="A88" s="8"/>
      <c r="B88" s="182"/>
      <c r="C88" s="63">
        <v>285</v>
      </c>
      <c r="D88" s="19">
        <v>290</v>
      </c>
      <c r="E88" s="30">
        <f>3.85*AsphaltBinderBase+0.01</f>
        <v>2238.4770000000003</v>
      </c>
      <c r="F88" s="30">
        <f>3.9*AsphaltBinderBase</f>
        <v>2267.538</v>
      </c>
      <c r="G88" s="67">
        <f>2.85*AsphaltBinderBase</f>
        <v>1657.047</v>
      </c>
      <c r="H88" s="8"/>
    </row>
    <row r="89" spans="1:8" x14ac:dyDescent="0.2">
      <c r="A89" s="8"/>
      <c r="B89" s="182"/>
      <c r="C89" s="63">
        <v>290</v>
      </c>
      <c r="D89" s="19">
        <v>295</v>
      </c>
      <c r="E89" s="30">
        <f>3.9*AsphaltBinderBase+0.01</f>
        <v>2267.5480000000002</v>
      </c>
      <c r="F89" s="30">
        <f>3.95*AsphaltBinderBase</f>
        <v>2296.6089999999999</v>
      </c>
      <c r="G89" s="67">
        <f>2.9*AsphaltBinderBase</f>
        <v>1686.1179999999999</v>
      </c>
      <c r="H89" s="8"/>
    </row>
    <row r="90" spans="1:8" x14ac:dyDescent="0.2">
      <c r="A90" s="8"/>
      <c r="B90" s="182"/>
      <c r="C90" s="63">
        <v>295</v>
      </c>
      <c r="D90" s="19">
        <v>300</v>
      </c>
      <c r="E90" s="30">
        <f>3.95*AsphaltBinderBase+0.01</f>
        <v>2296.6190000000001</v>
      </c>
      <c r="F90" s="30">
        <f>4*AsphaltBinderBase</f>
        <v>2325.6799999999998</v>
      </c>
      <c r="G90" s="67">
        <f>2.95*AsphaltBinderBase</f>
        <v>1715.1890000000001</v>
      </c>
      <c r="H90" s="8"/>
    </row>
    <row r="91" spans="1:8" x14ac:dyDescent="0.2">
      <c r="A91" s="8"/>
      <c r="B91" s="182"/>
      <c r="C91" s="63">
        <v>300</v>
      </c>
      <c r="D91" s="19">
        <v>305</v>
      </c>
      <c r="E91" s="30">
        <f>4*AsphaltBinderBase+0.01</f>
        <v>2325.69</v>
      </c>
      <c r="F91" s="30">
        <f>4.05*AsphaltBinderBase</f>
        <v>2354.7509999999997</v>
      </c>
      <c r="G91" s="67">
        <f>3*AsphaltBinderBase</f>
        <v>1744.2599999999998</v>
      </c>
      <c r="H91" s="8"/>
    </row>
    <row r="92" spans="1:8" x14ac:dyDescent="0.2">
      <c r="A92" s="8"/>
      <c r="B92" s="182"/>
      <c r="C92" s="63">
        <v>305</v>
      </c>
      <c r="D92" s="19">
        <v>310</v>
      </c>
      <c r="E92" s="30">
        <f>4.05*AsphaltBinderBase+0.01</f>
        <v>2354.761</v>
      </c>
      <c r="F92" s="30">
        <f>4.1*AsphaltBinderBase</f>
        <v>2383.8219999999997</v>
      </c>
      <c r="G92" s="67">
        <f>3.05*AsphaltBinderBase</f>
        <v>1773.3309999999997</v>
      </c>
      <c r="H92" s="8"/>
    </row>
    <row r="93" spans="1:8" x14ac:dyDescent="0.2">
      <c r="A93" s="8"/>
      <c r="B93" s="182"/>
      <c r="C93" s="63">
        <v>310</v>
      </c>
      <c r="D93" s="19">
        <v>315</v>
      </c>
      <c r="E93" s="30">
        <f>4.1*AsphaltBinderBase+0.01</f>
        <v>2383.8319999999999</v>
      </c>
      <c r="F93" s="30">
        <f>4.15*AsphaltBinderBase</f>
        <v>2412.893</v>
      </c>
      <c r="G93" s="67">
        <f>3.1*AsphaltBinderBase</f>
        <v>1802.4019999999998</v>
      </c>
      <c r="H93" s="8"/>
    </row>
    <row r="94" spans="1:8" x14ac:dyDescent="0.2">
      <c r="A94" s="8"/>
      <c r="B94" s="182"/>
      <c r="C94" s="63">
        <v>315</v>
      </c>
      <c r="D94" s="19">
        <v>320</v>
      </c>
      <c r="E94" s="30">
        <f>4.15*AsphaltBinderBase+0.01</f>
        <v>2412.9030000000002</v>
      </c>
      <c r="F94" s="30">
        <f>4.2*AsphaltBinderBase</f>
        <v>2441.9639999999999</v>
      </c>
      <c r="G94" s="67">
        <f>3.15*AsphaltBinderBase</f>
        <v>1831.4729999999997</v>
      </c>
      <c r="H94" s="8"/>
    </row>
    <row r="95" spans="1:8" x14ac:dyDescent="0.2">
      <c r="A95" s="8"/>
      <c r="B95" s="182"/>
      <c r="C95" s="63">
        <v>320</v>
      </c>
      <c r="D95" s="19">
        <v>325</v>
      </c>
      <c r="E95" s="30">
        <f>4.2*AsphaltBinderBase+0.01</f>
        <v>2441.9740000000002</v>
      </c>
      <c r="F95" s="30">
        <f>4.25*AsphaltBinderBase</f>
        <v>2471.0349999999999</v>
      </c>
      <c r="G95" s="67">
        <f>3.2*AsphaltBinderBase</f>
        <v>1860.5439999999999</v>
      </c>
      <c r="H95" s="8"/>
    </row>
    <row r="96" spans="1:8" x14ac:dyDescent="0.2">
      <c r="A96" s="8"/>
      <c r="B96" s="182"/>
      <c r="C96" s="63">
        <v>325</v>
      </c>
      <c r="D96" s="19">
        <v>330</v>
      </c>
      <c r="E96" s="30">
        <f>4.25*AsphaltBinderBase+0.01</f>
        <v>2471.0450000000001</v>
      </c>
      <c r="F96" s="30">
        <f>4.3*AsphaltBinderBase</f>
        <v>2500.1059999999998</v>
      </c>
      <c r="G96" s="67">
        <f>3.25*AsphaltBinderBase</f>
        <v>1889.6149999999998</v>
      </c>
      <c r="H96" s="8"/>
    </row>
    <row r="97" spans="1:8" x14ac:dyDescent="0.2">
      <c r="A97" s="8"/>
      <c r="B97" s="182"/>
      <c r="C97" s="63">
        <v>330</v>
      </c>
      <c r="D97" s="19">
        <v>335</v>
      </c>
      <c r="E97" s="30">
        <f>4.3*AsphaltBinderBase+0.01</f>
        <v>2500.116</v>
      </c>
      <c r="F97" s="30">
        <f>4.35*AsphaltBinderBase</f>
        <v>2529.1769999999997</v>
      </c>
      <c r="G97" s="67">
        <f>3.3*AsphaltBinderBase</f>
        <v>1918.6859999999997</v>
      </c>
      <c r="H97" s="8"/>
    </row>
    <row r="98" spans="1:8" x14ac:dyDescent="0.2">
      <c r="A98" s="8"/>
      <c r="B98" s="182"/>
      <c r="C98" s="63">
        <v>335</v>
      </c>
      <c r="D98" s="19">
        <v>340</v>
      </c>
      <c r="E98" s="30">
        <f>4.35*AsphaltBinderBase+0.01</f>
        <v>2529.1869999999999</v>
      </c>
      <c r="F98" s="30">
        <f>4.4*AsphaltBinderBase</f>
        <v>2558.248</v>
      </c>
      <c r="G98" s="67">
        <f>3.35*AsphaltBinderBase</f>
        <v>1947.7569999999998</v>
      </c>
      <c r="H98" s="8"/>
    </row>
    <row r="99" spans="1:8" x14ac:dyDescent="0.2">
      <c r="A99" s="8"/>
      <c r="B99" s="182"/>
      <c r="C99" s="63">
        <v>340</v>
      </c>
      <c r="D99" s="19">
        <v>345</v>
      </c>
      <c r="E99" s="30">
        <f>4.4*AsphaltBinderBase+0.01</f>
        <v>2558.2580000000003</v>
      </c>
      <c r="F99" s="30">
        <f>4.45*AsphaltBinderBase</f>
        <v>2587.319</v>
      </c>
      <c r="G99" s="67">
        <f>3.4*AsphaltBinderBase</f>
        <v>1976.8279999999997</v>
      </c>
      <c r="H99" s="8"/>
    </row>
    <row r="100" spans="1:8" x14ac:dyDescent="0.2">
      <c r="A100" s="8"/>
      <c r="B100" s="182"/>
      <c r="C100" s="63">
        <v>345</v>
      </c>
      <c r="D100" s="19">
        <v>350</v>
      </c>
      <c r="E100" s="30">
        <f>4.45*AsphaltBinderBase+0.01</f>
        <v>2587.3290000000002</v>
      </c>
      <c r="F100" s="30">
        <f>4.5*AsphaltBinderBase</f>
        <v>2616.39</v>
      </c>
      <c r="G100" s="67">
        <f>3.45*AsphaltBinderBase</f>
        <v>2005.8989999999999</v>
      </c>
      <c r="H100" s="8"/>
    </row>
    <row r="101" spans="1:8" x14ac:dyDescent="0.2">
      <c r="A101" s="8"/>
      <c r="B101" s="182"/>
      <c r="C101" s="63">
        <v>350</v>
      </c>
      <c r="D101" s="19">
        <v>355</v>
      </c>
      <c r="E101" s="30">
        <f>4.5*AsphaltBinderBase+0.01</f>
        <v>2616.4</v>
      </c>
      <c r="F101" s="30">
        <f>4.55*AsphaltBinderBase</f>
        <v>2645.4609999999998</v>
      </c>
      <c r="G101" s="67">
        <f>3.5*AsphaltBinderBase</f>
        <v>2034.9699999999998</v>
      </c>
      <c r="H101" s="8"/>
    </row>
    <row r="102" spans="1:8" x14ac:dyDescent="0.2">
      <c r="A102" s="8"/>
      <c r="B102" s="182"/>
      <c r="C102" s="63">
        <v>355</v>
      </c>
      <c r="D102" s="19">
        <v>360</v>
      </c>
      <c r="E102" s="30">
        <f>4.55*AsphaltBinderBase+0.01</f>
        <v>2645.471</v>
      </c>
      <c r="F102" s="30">
        <f>4.6*AsphaltBinderBase</f>
        <v>2674.5319999999997</v>
      </c>
      <c r="G102" s="67">
        <f>3.55*AsphaltBinderBase</f>
        <v>2064.0409999999997</v>
      </c>
      <c r="H102" s="8"/>
    </row>
    <row r="103" spans="1:8" x14ac:dyDescent="0.2">
      <c r="A103" s="8"/>
      <c r="B103" s="182"/>
      <c r="C103" s="63">
        <v>360</v>
      </c>
      <c r="D103" s="19">
        <v>365</v>
      </c>
      <c r="E103" s="30">
        <f>4.6*AsphaltBinderBase+0.01</f>
        <v>2674.5419999999999</v>
      </c>
      <c r="F103" s="30">
        <f>4.65*AsphaltBinderBase</f>
        <v>2703.6030000000001</v>
      </c>
      <c r="G103" s="67">
        <f>3.6*AsphaltBinderBase</f>
        <v>2093.1120000000001</v>
      </c>
      <c r="H103" s="8"/>
    </row>
    <row r="104" spans="1:8" x14ac:dyDescent="0.2">
      <c r="A104" s="8"/>
      <c r="B104" s="182"/>
      <c r="C104" s="63">
        <v>365</v>
      </c>
      <c r="D104" s="19">
        <v>370</v>
      </c>
      <c r="E104" s="30">
        <f>4.65*AsphaltBinderBase+0.01</f>
        <v>2703.6130000000003</v>
      </c>
      <c r="F104" s="30">
        <f>4.7*AsphaltBinderBase</f>
        <v>2732.674</v>
      </c>
      <c r="G104" s="67">
        <f>3.65*AsphaltBinderBase</f>
        <v>2122.183</v>
      </c>
      <c r="H104" s="8"/>
    </row>
    <row r="105" spans="1:8" x14ac:dyDescent="0.2">
      <c r="A105" s="8"/>
      <c r="B105" s="183"/>
      <c r="C105" s="69">
        <v>370</v>
      </c>
      <c r="D105" s="55">
        <v>375</v>
      </c>
      <c r="E105" s="58">
        <f>4.7*AsphaltBinderBase+0.01</f>
        <v>2732.6840000000002</v>
      </c>
      <c r="F105" s="58">
        <f>4.75*AsphaltBinderBase</f>
        <v>2761.7449999999999</v>
      </c>
      <c r="G105" s="68">
        <f>3.7*AsphaltBinderBase</f>
        <v>2151.2539999999999</v>
      </c>
      <c r="H105" s="8"/>
    </row>
    <row r="106" spans="1:8" x14ac:dyDescent="0.2">
      <c r="A106" s="8"/>
      <c r="B106" s="8"/>
      <c r="C106" s="8"/>
      <c r="D106" s="8"/>
      <c r="E106" s="8"/>
      <c r="F106" s="8"/>
      <c r="G106" s="8"/>
      <c r="H106" s="8"/>
    </row>
    <row r="107" spans="1:8" x14ac:dyDescent="0.2">
      <c r="A107" s="8"/>
      <c r="B107" s="8"/>
      <c r="C107" s="8"/>
      <c r="D107" s="8"/>
      <c r="E107" s="8"/>
      <c r="F107" s="8"/>
      <c r="G107" s="8"/>
      <c r="H107" s="8"/>
    </row>
    <row r="108" spans="1:8" x14ac:dyDescent="0.2">
      <c r="A108" s="8"/>
      <c r="B108" s="8"/>
      <c r="C108" s="8"/>
      <c r="D108" s="8"/>
      <c r="E108" s="8"/>
      <c r="F108" s="8"/>
      <c r="G108" s="8"/>
      <c r="H108" s="8"/>
    </row>
  </sheetData>
  <sheetProtection algorithmName="SHA-512" hashValue="z4MdVeK+eqConrGpz29Jlqh1msPFPhZy8Q+yUnxyP6qdMhNtBnaJVAwhkn7gqM1Mg9jBTILRkMSUt5+J2pCPjg==" saltValue="LbzPlDxWSNsr8LbvnbKM9Q==" spinCount="100000" sheet="1" objects="1" scenarios="1"/>
  <mergeCells count="6">
    <mergeCell ref="B31:B105"/>
    <mergeCell ref="B11:B30"/>
    <mergeCell ref="B2:G2"/>
    <mergeCell ref="C4:D4"/>
    <mergeCell ref="C5:D5"/>
    <mergeCell ref="C6:D6"/>
  </mergeCells>
  <phoneticPr fontId="0" type="noConversion"/>
  <conditionalFormatting sqref="G11:G105">
    <cfRule type="cellIs" dxfId="0" priority="1" stopIfTrue="1" operator="equal">
      <formula>$E$6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22"/>
  <sheetViews>
    <sheetView zoomScale="130" zoomScaleNormal="130" workbookViewId="0">
      <selection activeCell="I8" sqref="I8"/>
    </sheetView>
  </sheetViews>
  <sheetFormatPr defaultRowHeight="12.75" x14ac:dyDescent="0.2"/>
  <cols>
    <col min="2" max="2" width="26.5703125" bestFit="1" customWidth="1"/>
    <col min="4" max="4" width="10.42578125" customWidth="1"/>
    <col min="5" max="5" width="12" bestFit="1" customWidth="1"/>
    <col min="6" max="6" width="12.140625" customWidth="1"/>
  </cols>
  <sheetData>
    <row r="1" spans="1:8" x14ac:dyDescent="0.2">
      <c r="A1" s="8"/>
      <c r="B1" s="8"/>
      <c r="C1" s="8"/>
      <c r="D1" s="8"/>
      <c r="E1" s="8"/>
      <c r="F1" s="8"/>
      <c r="G1" s="8"/>
      <c r="H1" s="8"/>
    </row>
    <row r="2" spans="1:8" ht="15.75" x14ac:dyDescent="0.25">
      <c r="A2" s="8"/>
      <c r="B2" s="190" t="s">
        <v>45</v>
      </c>
      <c r="C2" s="190"/>
      <c r="D2" s="190"/>
      <c r="E2" s="190"/>
      <c r="F2" s="190"/>
      <c r="G2" s="8"/>
      <c r="H2" s="8"/>
    </row>
    <row r="3" spans="1:8" x14ac:dyDescent="0.2">
      <c r="A3" s="8"/>
      <c r="B3" s="1"/>
      <c r="C3" s="1"/>
      <c r="D3" s="31" t="s">
        <v>46</v>
      </c>
      <c r="E3" s="32">
        <f>AsphaltBinderBase</f>
        <v>581.41999999999996</v>
      </c>
      <c r="F3" s="1"/>
      <c r="G3" s="8"/>
      <c r="H3" s="8"/>
    </row>
    <row r="4" spans="1:8" x14ac:dyDescent="0.2">
      <c r="A4" s="8"/>
      <c r="B4" s="1"/>
      <c r="C4" s="1"/>
      <c r="D4" s="31" t="s">
        <v>47</v>
      </c>
      <c r="E4" s="32">
        <f>AsphaltBinderCurrent</f>
        <v>581.41999999999996</v>
      </c>
      <c r="F4" s="1"/>
      <c r="G4" s="8"/>
      <c r="H4" s="8"/>
    </row>
    <row r="5" spans="1:8" ht="51" x14ac:dyDescent="0.2">
      <c r="A5" s="8"/>
      <c r="B5" s="33" t="s">
        <v>48</v>
      </c>
      <c r="C5" s="34" t="s">
        <v>49</v>
      </c>
      <c r="D5" s="35" t="s">
        <v>50</v>
      </c>
      <c r="E5" s="35" t="s">
        <v>51</v>
      </c>
      <c r="F5" s="35" t="s">
        <v>52</v>
      </c>
      <c r="G5" s="8"/>
      <c r="H5" s="8"/>
    </row>
    <row r="6" spans="1:8" ht="15" x14ac:dyDescent="0.25">
      <c r="A6" s="8"/>
      <c r="B6" s="71" t="s">
        <v>55</v>
      </c>
      <c r="C6" s="72"/>
      <c r="D6" s="72"/>
      <c r="E6" s="72"/>
      <c r="F6" s="73"/>
      <c r="G6" s="8"/>
      <c r="H6" s="8"/>
    </row>
    <row r="7" spans="1:8" x14ac:dyDescent="0.2">
      <c r="A7" s="8"/>
      <c r="B7" s="74" t="s">
        <v>53</v>
      </c>
      <c r="C7" s="34" t="s">
        <v>21</v>
      </c>
      <c r="D7" s="34">
        <v>0.28000000000000003</v>
      </c>
      <c r="E7" s="34">
        <f>D7*0.65/235</f>
        <v>7.7446808510638304E-4</v>
      </c>
      <c r="F7" s="36">
        <f>E7*AsphaltBinderChange</f>
        <v>0</v>
      </c>
      <c r="G7" s="8"/>
      <c r="H7" s="8"/>
    </row>
    <row r="8" spans="1:8" x14ac:dyDescent="0.2">
      <c r="A8" s="8"/>
      <c r="B8" s="74" t="s">
        <v>54</v>
      </c>
      <c r="C8" s="1"/>
      <c r="D8" s="1"/>
      <c r="E8" s="1"/>
      <c r="F8" s="1"/>
      <c r="G8" s="8"/>
      <c r="H8" s="8"/>
    </row>
    <row r="9" spans="1:8" x14ac:dyDescent="0.2">
      <c r="A9" s="8"/>
      <c r="B9" s="75" t="s">
        <v>61</v>
      </c>
      <c r="C9" s="34" t="s">
        <v>21</v>
      </c>
      <c r="D9" s="34">
        <v>0.55000000000000004</v>
      </c>
      <c r="E9" s="34">
        <f>D9*0.65/235</f>
        <v>1.521276595744681E-3</v>
      </c>
      <c r="F9" s="36">
        <f>E9*AsphaltBinderChange</f>
        <v>0</v>
      </c>
      <c r="G9" s="8"/>
      <c r="H9" s="8"/>
    </row>
    <row r="10" spans="1:8" x14ac:dyDescent="0.2">
      <c r="A10" s="8"/>
      <c r="B10" s="75" t="s">
        <v>62</v>
      </c>
      <c r="C10" s="34" t="s">
        <v>21</v>
      </c>
      <c r="D10" s="34">
        <v>0.46</v>
      </c>
      <c r="E10" s="34">
        <f>D10*0.65/235</f>
        <v>1.2723404255319151E-3</v>
      </c>
      <c r="F10" s="36">
        <f>E10*AsphaltBinderChange</f>
        <v>0</v>
      </c>
      <c r="G10" s="8"/>
      <c r="H10" s="8"/>
    </row>
    <row r="11" spans="1:8" x14ac:dyDescent="0.2">
      <c r="A11" s="8"/>
      <c r="B11" s="75" t="s">
        <v>63</v>
      </c>
      <c r="C11" s="34" t="s">
        <v>21</v>
      </c>
      <c r="D11" s="34">
        <v>0.48</v>
      </c>
      <c r="E11" s="34">
        <f>D11*0.65/235</f>
        <v>1.3276595744680852E-3</v>
      </c>
      <c r="F11" s="36">
        <f>E11*AsphaltBinderChange</f>
        <v>0</v>
      </c>
      <c r="G11" s="8"/>
      <c r="H11" s="8"/>
    </row>
    <row r="12" spans="1:8" x14ac:dyDescent="0.2">
      <c r="A12" s="8"/>
      <c r="B12" s="75"/>
      <c r="C12" s="34"/>
      <c r="D12" s="34"/>
      <c r="E12" s="34"/>
      <c r="F12" s="36"/>
      <c r="G12" s="8"/>
      <c r="H12" s="8"/>
    </row>
    <row r="13" spans="1:8" x14ac:dyDescent="0.2">
      <c r="A13" s="8"/>
      <c r="B13" s="75"/>
      <c r="C13" s="34"/>
      <c r="D13" s="34"/>
      <c r="E13" s="34"/>
      <c r="F13" s="36"/>
      <c r="G13" s="8"/>
      <c r="H13" s="8"/>
    </row>
    <row r="14" spans="1:8" x14ac:dyDescent="0.2">
      <c r="A14" s="8"/>
      <c r="B14" s="76"/>
      <c r="C14" s="77"/>
      <c r="D14" s="77"/>
      <c r="E14" s="77"/>
      <c r="F14" s="78"/>
      <c r="G14" s="8"/>
      <c r="H14" s="8"/>
    </row>
    <row r="15" spans="1:8" x14ac:dyDescent="0.2">
      <c r="A15" s="8"/>
      <c r="B15" s="76" t="s">
        <v>58</v>
      </c>
      <c r="C15" s="34" t="s">
        <v>21</v>
      </c>
      <c r="D15" s="34">
        <v>0.71</v>
      </c>
      <c r="E15" s="34">
        <f>D15*0.65/235</f>
        <v>1.9638297872340425E-3</v>
      </c>
      <c r="F15" s="36">
        <f>E15*AsphaltBinderChange</f>
        <v>0</v>
      </c>
      <c r="G15" s="8"/>
      <c r="H15" s="8"/>
    </row>
    <row r="16" spans="1:8" x14ac:dyDescent="0.2">
      <c r="A16" s="8"/>
      <c r="B16" s="75"/>
      <c r="C16" s="34"/>
      <c r="D16" s="34"/>
      <c r="E16" s="34"/>
      <c r="F16" s="36"/>
      <c r="G16" s="8"/>
      <c r="H16" s="8"/>
    </row>
    <row r="17" spans="1:8" x14ac:dyDescent="0.2">
      <c r="A17" s="8"/>
      <c r="B17" s="75"/>
      <c r="C17" s="34"/>
      <c r="D17" s="34"/>
      <c r="E17" s="34"/>
      <c r="F17" s="36"/>
      <c r="G17" s="8"/>
      <c r="H17" s="8"/>
    </row>
    <row r="18" spans="1:8" x14ac:dyDescent="0.2">
      <c r="A18" s="8"/>
      <c r="B18" s="8"/>
      <c r="C18" s="8"/>
      <c r="D18" s="8"/>
      <c r="E18" s="8"/>
      <c r="F18" s="8"/>
      <c r="G18" s="8"/>
      <c r="H18" s="8"/>
    </row>
    <row r="19" spans="1:8" x14ac:dyDescent="0.2">
      <c r="A19" s="8"/>
      <c r="B19" s="8"/>
      <c r="C19" s="8"/>
      <c r="D19" s="8"/>
      <c r="E19" s="8"/>
      <c r="F19" s="8"/>
      <c r="G19" s="8"/>
      <c r="H19" s="8"/>
    </row>
    <row r="20" spans="1:8" x14ac:dyDescent="0.2">
      <c r="A20" s="8"/>
      <c r="B20" s="8"/>
      <c r="C20" s="8"/>
      <c r="D20" s="8"/>
      <c r="E20" s="8"/>
      <c r="F20" s="8"/>
      <c r="G20" s="8"/>
      <c r="H20" s="8"/>
    </row>
    <row r="21" spans="1:8" x14ac:dyDescent="0.2">
      <c r="A21" s="8"/>
      <c r="B21" s="8"/>
      <c r="C21" s="8"/>
      <c r="D21" s="8"/>
      <c r="E21" s="8"/>
      <c r="F21" s="8"/>
      <c r="G21" s="8"/>
      <c r="H21" s="8"/>
    </row>
    <row r="22" spans="1:8" x14ac:dyDescent="0.2">
      <c r="A22" s="8"/>
      <c r="B22" s="8"/>
      <c r="C22" s="8"/>
      <c r="D22" s="8"/>
      <c r="E22" s="8"/>
      <c r="F22" s="8"/>
      <c r="G22" s="8"/>
      <c r="H22" s="8"/>
    </row>
  </sheetData>
  <sheetProtection algorithmName="SHA-512" hashValue="nY22SCwM5BcLsmLsPFLldeNzl2BBqUNMYKMZeGtcT7xqCgg2CH7C9EbIXjlXForU+gQE1FER4GCxIz1gNLYaTA==" saltValue="vTd3FWjYUR8/b5PXBSXIXg==" spinCount="100000" sheet="1" objects="1" scenarios="1"/>
  <mergeCells count="1">
    <mergeCell ref="B2:F2"/>
  </mergeCells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78A670-71BA-40B1-B97F-8A8E31CEA909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C71AE2-6F59-4A92-97EA-9EBE5B7B5E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9B3200-A8B9-4FE7-AAE9-16BC1F3798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Index Dates and Adjustments</vt:lpstr>
      <vt:lpstr>Maintain Indexes</vt:lpstr>
      <vt:lpstr>Fuel Charts</vt:lpstr>
      <vt:lpstr>AC Binder Chart</vt:lpstr>
      <vt:lpstr>Bit. Surf. Chart</vt:lpstr>
      <vt:lpstr>AsphaltBinderBase</vt:lpstr>
      <vt:lpstr>AsphaltBinderChange</vt:lpstr>
      <vt:lpstr>AsphaltBinderCurrent</vt:lpstr>
      <vt:lpstr>DieselBase</vt:lpstr>
      <vt:lpstr>DieselChange</vt:lpstr>
      <vt:lpstr>DieselCurrent</vt:lpstr>
      <vt:lpstr>MaintainIndexes</vt:lpstr>
      <vt:lpstr>UnleadedBase</vt:lpstr>
      <vt:lpstr>UnleadedChange</vt:lpstr>
      <vt:lpstr>UnleadedCurrent</vt:lpstr>
      <vt:lpstr>Validdates</vt:lpstr>
    </vt:vector>
  </TitlesOfParts>
  <Company>SCDOT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Lindberg</dc:creator>
  <cp:lastModifiedBy>Robinson, Desinique M.</cp:lastModifiedBy>
  <cp:lastPrinted>2011-06-17T15:19:45Z</cp:lastPrinted>
  <dcterms:created xsi:type="dcterms:W3CDTF">2006-08-02T15:15:53Z</dcterms:created>
  <dcterms:modified xsi:type="dcterms:W3CDTF">2025-02-03T16:11:57Z</dcterms:modified>
</cp:coreProperties>
</file>