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chartsheets/sheet3.xml" ContentType="application/vnd.openxmlformats-officedocument.spreadsheetml.chart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chartsheets/sheet4.xml" ContentType="application/vnd.openxmlformats-officedocument.spreadsheetml.chart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drawings/drawing6.xml" ContentType="application/vnd.openxmlformats-officedocument.drawing+xml"/>
  <Override PartName="/xl/embeddings/oleObject4.bin" ContentType="application/vnd.openxmlformats-officedocument.oleObject"/>
  <Override PartName="/xl/drawings/drawing7.xml" ContentType="application/vnd.openxmlformats-officedocument.drawing+xml"/>
  <Override PartName="/xl/embeddings/oleObject5.bin" ContentType="application/vnd.openxmlformats-officedocument.oleObject"/>
  <Override PartName="/xl/drawings/drawing8.xml" ContentType="application/vnd.openxmlformats-officedocument.drawing+xml"/>
  <Override PartName="/xl/embeddings/oleObject6.bin" ContentType="application/vnd.openxmlformats-officedocument.oleObject"/>
  <Override PartName="/xl/drawings/drawing9.xml" ContentType="application/vnd.openxmlformats-officedocument.drawing+xml"/>
  <Override PartName="/xl/embeddings/oleObject7.bin" ContentType="application/vnd.openxmlformats-officedocument.oleObject"/>
  <Override PartName="/xl/drawings/drawing10.xml" ContentType="application/vnd.openxmlformats-officedocument.drawing+xml"/>
  <Override PartName="/xl/embeddings/oleObject8.bin" ContentType="application/vnd.openxmlformats-officedocument.oleObject"/>
  <Override PartName="/xl/drawings/drawing11.xml" ContentType="application/vnd.openxmlformats-officedocument.drawing+xml"/>
  <Override PartName="/xl/embeddings/oleObject9.bin" ContentType="application/vnd.openxmlformats-officedocument.oleObject"/>
  <Override PartName="/xl/drawings/drawing12.xml" ContentType="application/vnd.openxmlformats-officedocument.drawing+xml"/>
  <Override PartName="/xl/embeddings/oleObject10.bin" ContentType="application/vnd.openxmlformats-officedocument.oleObject"/>
  <Override PartName="/xl/drawings/drawing13.xml" ContentType="application/vnd.openxmlformats-officedocument.drawing+xml"/>
  <Override PartName="/xl/embeddings/oleObject11.bin" ContentType="application/vnd.openxmlformats-officedocument.oleObject"/>
  <Override PartName="/xl/drawings/drawing14.xml" ContentType="application/vnd.openxmlformats-officedocument.drawing+xml"/>
  <Override PartName="/xl/embeddings/oleObject12.bin" ContentType="application/vnd.openxmlformats-officedocument.oleObject"/>
  <Override PartName="/xl/drawings/drawing15.xml" ContentType="application/vnd.openxmlformats-officedocument.drawing+xml"/>
  <Override PartName="/xl/charts/chart3.xml" ContentType="application/vnd.openxmlformats-officedocument.drawingml.chart+xml"/>
  <Override PartName="/xl/drawings/drawing16.xml" ContentType="application/vnd.openxmlformats-officedocument.drawing+xml"/>
  <Override PartName="/xl/embeddings/oleObject13.bin" ContentType="application/vnd.openxmlformats-officedocument.oleObject"/>
  <Override PartName="/xl/drawings/drawing17.xml" ContentType="application/vnd.openxmlformats-officedocument.drawing+xml"/>
  <Override PartName="/xl/embeddings/oleObject14.bin" ContentType="application/vnd.openxmlformats-officedocument.oleObject"/>
  <Override PartName="/xl/drawings/drawing18.xml" ContentType="application/vnd.openxmlformats-officedocument.drawing+xml"/>
  <Override PartName="/xl/embeddings/oleObject15.bin" ContentType="application/vnd.openxmlformats-officedocument.oleObject"/>
  <Override PartName="/xl/drawings/drawing19.xml" ContentType="application/vnd.openxmlformats-officedocument.drawing+xml"/>
  <Override PartName="/xl/embeddings/oleObject16.bin" ContentType="application/vnd.openxmlformats-officedocument.oleObject"/>
  <Override PartName="/xl/drawings/drawing20.xml" ContentType="application/vnd.openxmlformats-officedocument.drawing+xml"/>
  <Override PartName="/xl/embeddings/oleObject17.bin" ContentType="application/vnd.openxmlformats-officedocument.oleObject"/>
  <Override PartName="/xl/drawings/drawing21.xml" ContentType="application/vnd.openxmlformats-officedocument.drawing+xml"/>
  <Override PartName="/xl/embeddings/oleObject18.bin" ContentType="application/vnd.openxmlformats-officedocument.oleObject"/>
  <Override PartName="/xl/drawings/drawing22.xml" ContentType="application/vnd.openxmlformats-officedocument.drawing+xml"/>
  <Override PartName="/xl/embeddings/oleObject19.bin" ContentType="application/vnd.openxmlformats-officedocument.oleObject"/>
  <Override PartName="/xl/drawings/drawing23.xml" ContentType="application/vnd.openxmlformats-officedocument.drawing+xml"/>
  <Override PartName="/xl/embeddings/oleObject20.bin" ContentType="application/vnd.openxmlformats-officedocument.oleObject"/>
  <Override PartName="/xl/drawings/drawing24.xml" ContentType="application/vnd.openxmlformats-officedocument.drawing+xml"/>
  <Override PartName="/xl/charts/chart4.xml" ContentType="application/vnd.openxmlformats-officedocument.drawingml.chart+xml"/>
  <Override PartName="/xl/drawings/drawing25.xml" ContentType="application/vnd.openxmlformats-officedocument.drawing+xml"/>
  <Override PartName="/xl/embeddings/oleObject21.bin" ContentType="application/vnd.openxmlformats-officedocument.oleObject"/>
  <Override PartName="/xl/drawings/drawing26.xml" ContentType="application/vnd.openxmlformats-officedocument.drawing+xml"/>
  <Override PartName="/xl/embeddings/oleObject22.bin" ContentType="application/vnd.openxmlformats-officedocument.oleObject"/>
  <Override PartName="/xl/drawings/drawing27.xml" ContentType="application/vnd.openxmlformats-officedocument.drawing+xml"/>
  <Override PartName="/xl/embeddings/oleObject23.bin" ContentType="application/vnd.openxmlformats-officedocument.oleObject"/>
  <Override PartName="/xl/drawings/drawing28.xml" ContentType="application/vnd.openxmlformats-officedocument.drawing+xml"/>
  <Override PartName="/xl/embeddings/oleObject24.bin" ContentType="application/vnd.openxmlformats-officedocument.oleObject"/>
  <Override PartName="/xl/drawings/drawing29.xml" ContentType="application/vnd.openxmlformats-officedocument.drawing+xml"/>
  <Override PartName="/xl/embeddings/oleObject25.bin" ContentType="application/vnd.openxmlformats-officedocument.oleObject"/>
  <Override PartName="/xl/drawings/drawing30.xml" ContentType="application/vnd.openxmlformats-officedocument.drawing+xml"/>
  <Override PartName="/xl/embeddings/oleObject26.bin" ContentType="application/vnd.openxmlformats-officedocument.oleObject"/>
  <Override PartName="/xl/drawings/drawing31.xml" ContentType="application/vnd.openxmlformats-officedocument.drawing+xml"/>
  <Override PartName="/xl/embeddings/oleObject27.bin" ContentType="application/vnd.openxmlformats-officedocument.oleObject"/>
  <Override PartName="/xl/drawings/drawing32.xml" ContentType="application/vnd.openxmlformats-officedocument.drawing+xml"/>
  <Override PartName="/xl/embeddings/oleObject2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75" windowWidth="15480" windowHeight="10365" firstSheet="2" activeTab="4"/>
  </bookViews>
  <sheets>
    <sheet name="Ref" sheetId="15" state="hidden" r:id="rId1"/>
    <sheet name="Notes" sheetId="47" r:id="rId2"/>
    <sheet name="Rational" sheetId="3" r:id="rId3"/>
    <sheet name="SCS" sheetId="6" r:id="rId4"/>
    <sheet name="tc-pre" sheetId="7" r:id="rId5"/>
    <sheet name="tc-post" sheetId="2" r:id="rId6"/>
    <sheet name="Abbeville IDF Chart (10 Year)" sheetId="17" state="hidden" r:id="rId7"/>
    <sheet name="Abbeville" sheetId="16" state="hidden" r:id="rId8"/>
    <sheet name="Aiken IDF Chart (10 Year)" sheetId="48" state="hidden" r:id="rId9"/>
    <sheet name="Aiken" sheetId="18" state="hidden" r:id="rId10"/>
    <sheet name="Anderson" sheetId="24" state="hidden" r:id="rId11"/>
    <sheet name="Berkeley" sheetId="25" state="hidden" r:id="rId12"/>
    <sheet name="Camden" sheetId="26" state="hidden" r:id="rId13"/>
    <sheet name="Charleston" sheetId="27" state="hidden" r:id="rId14"/>
    <sheet name="Cheraw" sheetId="28" state="hidden" r:id="rId15"/>
    <sheet name="Chesterfield" sheetId="19" state="hidden" r:id="rId16"/>
    <sheet name="Columbia" sheetId="20" state="hidden" r:id="rId17"/>
    <sheet name="Florence" sheetId="21" state="hidden" r:id="rId18"/>
    <sheet name="Gaffney" sheetId="22" state="hidden" r:id="rId19"/>
    <sheet name="Georgetown" sheetId="23" state="hidden" r:id="rId20"/>
    <sheet name="Greenville IDF Chart (10 Year)" sheetId="11" state="hidden" r:id="rId21"/>
    <sheet name="Greenville" sheetId="12" state="hidden" r:id="rId22"/>
    <sheet name="Greenwood" sheetId="29" state="hidden" r:id="rId23"/>
    <sheet name="Hilton Head" sheetId="30" state="hidden" r:id="rId24"/>
    <sheet name="Laurens" sheetId="31" state="hidden" r:id="rId25"/>
    <sheet name="Lexington" sheetId="32" state="hidden" r:id="rId26"/>
    <sheet name="McCormick" sheetId="33" state="hidden" r:id="rId27"/>
    <sheet name="Myrtle Beach" sheetId="34" state="hidden" r:id="rId28"/>
    <sheet name="Newberry" sheetId="35" state="hidden" r:id="rId29"/>
    <sheet name="Orangeburg IDF Chart (10 Year)" sheetId="13" state="hidden" r:id="rId30"/>
    <sheet name="Orangeburg" sheetId="14" state="hidden" r:id="rId31"/>
    <sheet name="Pickens" sheetId="36" state="hidden" r:id="rId32"/>
    <sheet name="Rock Hill" sheetId="37" state="hidden" r:id="rId33"/>
    <sheet name="Spartanburg" sheetId="38" state="hidden" r:id="rId34"/>
    <sheet name="St. George" sheetId="39" state="hidden" r:id="rId35"/>
    <sheet name="Sumter" sheetId="40" state="hidden" r:id="rId36"/>
    <sheet name="Union" sheetId="41" state="hidden" r:id="rId37"/>
    <sheet name="Walhalla" sheetId="42" state="hidden" r:id="rId38"/>
    <sheet name="Rainfall Distribution Coef." sheetId="9" state="hidden" r:id="rId39"/>
    <sheet name="SCDHEC 24 HR Storm (in.)" sheetId="43" state="hidden" r:id="rId40"/>
    <sheet name="Curve Numbers" sheetId="44" state="hidden" r:id="rId41"/>
    <sheet name="Runoff Coeficients (C)" sheetId="45" state="hidden" r:id="rId42"/>
    <sheet name="Tc - Mannings n" sheetId="46" state="hidden" r:id="rId43"/>
  </sheets>
  <externalReferences>
    <externalReference r:id="rId44"/>
    <externalReference r:id="rId45"/>
  </externalReferences>
  <definedNames>
    <definedName name="Counties">'SCDHEC 24 HR Storm (in.)'!$B$4:$B$64</definedName>
    <definedName name="county">Ref!$A$2:$A$29</definedName>
    <definedName name="Cover">'Curve Numbers'!$A$5:$A$93</definedName>
    <definedName name="Cover1">'Curve Numbers'!$A$4:$A$93</definedName>
    <definedName name="desc">'Tc - Mannings n'!$C$5:$C$8</definedName>
    <definedName name="description">'Runoff Coeficients (C)'!$C$7:$C$40</definedName>
    <definedName name="HSG">'Curve Numbers'!$C$4:$F$4</definedName>
    <definedName name="n">'Tc - Mannings n'!$D$5:$D$8</definedName>
    <definedName name="percent">'Runoff Coeficients (C)'!$D$6:$F$6</definedName>
    <definedName name="_xlnm.Print_Area" localSheetId="2">Rational!$A$1:$I$115</definedName>
    <definedName name="_xlnm.Print_Area" localSheetId="3">SCS!$A$1:$H$186</definedName>
    <definedName name="_xlnm.Print_Area" localSheetId="4">'tc-pre'!$A$2:$H$48</definedName>
    <definedName name="rain">[1]Ref!$C$2:$C$5</definedName>
    <definedName name="Rain2">'[2]Rainfall Distribution Coef.'!$K$2:$K$5</definedName>
    <definedName name="Rainfall2">'Rainfall Distribution Coef.'!$K$2:$K$5</definedName>
    <definedName name="Topo">'Runoff Coeficients (C)'!$D$5:$F$5</definedName>
    <definedName name="Topo2">'Runoff Coeficients (C)'!$I$8:$I$10</definedName>
    <definedName name="Type">[1]Ref!$A$2:$A$4</definedName>
    <definedName name="YN">Ref!$K$1:$K$2</definedName>
  </definedNames>
  <calcPr calcId="145621"/>
</workbook>
</file>

<file path=xl/calcChain.xml><?xml version="1.0" encoding="utf-8"?>
<calcChain xmlns="http://schemas.openxmlformats.org/spreadsheetml/2006/main">
  <c r="D25" i="2" l="1"/>
  <c r="D26" i="7"/>
  <c r="F25" i="2" l="1"/>
  <c r="F26" i="7"/>
  <c r="D100" i="6" l="1"/>
  <c r="B19" i="42" l="1"/>
  <c r="C19" i="42"/>
  <c r="B20" i="42"/>
  <c r="C20" i="42"/>
  <c r="B21" i="42"/>
  <c r="C21" i="42"/>
  <c r="B22" i="42"/>
  <c r="C22" i="42"/>
  <c r="B23" i="42"/>
  <c r="C23" i="42"/>
  <c r="B24" i="42"/>
  <c r="C24" i="42"/>
  <c r="B25" i="42"/>
  <c r="C25" i="42"/>
  <c r="B26" i="42"/>
  <c r="C26" i="42"/>
  <c r="B19" i="41"/>
  <c r="C19" i="41"/>
  <c r="B20" i="41"/>
  <c r="C20" i="41"/>
  <c r="B21" i="41"/>
  <c r="C21" i="41"/>
  <c r="B22" i="41"/>
  <c r="C22" i="41"/>
  <c r="B23" i="41"/>
  <c r="C23" i="41"/>
  <c r="B24" i="41"/>
  <c r="C24" i="41"/>
  <c r="B25" i="41"/>
  <c r="C25" i="41"/>
  <c r="B26" i="41"/>
  <c r="C26" i="41"/>
  <c r="B19" i="40"/>
  <c r="C19" i="40"/>
  <c r="B20" i="40"/>
  <c r="C20" i="40"/>
  <c r="B21" i="40"/>
  <c r="C21" i="40"/>
  <c r="B22" i="40"/>
  <c r="C22" i="40"/>
  <c r="B23" i="40"/>
  <c r="C23" i="40"/>
  <c r="B24" i="40"/>
  <c r="C24" i="40"/>
  <c r="B25" i="40"/>
  <c r="C25" i="40"/>
  <c r="B26" i="40"/>
  <c r="C26" i="40"/>
  <c r="B19" i="39"/>
  <c r="C19" i="39"/>
  <c r="B20" i="39"/>
  <c r="C20" i="39"/>
  <c r="B21" i="39"/>
  <c r="C21" i="39"/>
  <c r="B22" i="39"/>
  <c r="C22" i="39"/>
  <c r="B23" i="39"/>
  <c r="C23" i="39"/>
  <c r="B24" i="39"/>
  <c r="C24" i="39"/>
  <c r="B25" i="39"/>
  <c r="C25" i="39"/>
  <c r="B26" i="39"/>
  <c r="C26" i="39"/>
  <c r="B19" i="38"/>
  <c r="C19" i="38"/>
  <c r="B20" i="38"/>
  <c r="C20" i="38"/>
  <c r="B21" i="38"/>
  <c r="C21" i="38"/>
  <c r="B22" i="38"/>
  <c r="C22" i="38"/>
  <c r="B23" i="38"/>
  <c r="C23" i="38"/>
  <c r="B24" i="38"/>
  <c r="C24" i="38"/>
  <c r="B25" i="38"/>
  <c r="C25" i="38"/>
  <c r="B26" i="38"/>
  <c r="C26" i="38"/>
  <c r="B19" i="37"/>
  <c r="C19" i="37"/>
  <c r="B20" i="37"/>
  <c r="C20" i="37"/>
  <c r="B21" i="37"/>
  <c r="C21" i="37"/>
  <c r="B22" i="37"/>
  <c r="C22" i="37"/>
  <c r="B23" i="37"/>
  <c r="C23" i="37"/>
  <c r="B24" i="37"/>
  <c r="C24" i="37"/>
  <c r="B25" i="37"/>
  <c r="C25" i="37"/>
  <c r="B26" i="37"/>
  <c r="C26" i="37"/>
  <c r="B19" i="36"/>
  <c r="C19" i="36"/>
  <c r="B20" i="36"/>
  <c r="C20" i="36"/>
  <c r="B21" i="36"/>
  <c r="C21" i="36"/>
  <c r="B22" i="36"/>
  <c r="C22" i="36"/>
  <c r="B23" i="36"/>
  <c r="C23" i="36"/>
  <c r="B24" i="36"/>
  <c r="C24" i="36"/>
  <c r="B25" i="36"/>
  <c r="C25" i="36"/>
  <c r="B26" i="36"/>
  <c r="C26" i="36"/>
  <c r="B19" i="14"/>
  <c r="C19" i="14"/>
  <c r="B20" i="14"/>
  <c r="C20" i="14"/>
  <c r="B21" i="14"/>
  <c r="C21" i="14"/>
  <c r="B22" i="14"/>
  <c r="C22" i="14"/>
  <c r="B23" i="14"/>
  <c r="C23" i="14"/>
  <c r="B24" i="14"/>
  <c r="C24" i="14"/>
  <c r="B25" i="14"/>
  <c r="C25" i="14"/>
  <c r="B26" i="14"/>
  <c r="C26" i="14"/>
  <c r="B19" i="35"/>
  <c r="C19" i="35"/>
  <c r="B20" i="35"/>
  <c r="C20" i="35"/>
  <c r="B21" i="35"/>
  <c r="C21" i="35"/>
  <c r="B22" i="35"/>
  <c r="C22" i="35"/>
  <c r="B23" i="35"/>
  <c r="C23" i="35"/>
  <c r="B24" i="35"/>
  <c r="C24" i="35"/>
  <c r="B25" i="35"/>
  <c r="C25" i="35"/>
  <c r="B26" i="35"/>
  <c r="C26" i="35"/>
  <c r="B19" i="34"/>
  <c r="C19" i="34"/>
  <c r="B20" i="34"/>
  <c r="C20" i="34"/>
  <c r="B21" i="34"/>
  <c r="C21" i="34"/>
  <c r="B22" i="34"/>
  <c r="C22" i="34"/>
  <c r="B23" i="34"/>
  <c r="C23" i="34"/>
  <c r="B24" i="34"/>
  <c r="C24" i="34"/>
  <c r="B25" i="34"/>
  <c r="C25" i="34"/>
  <c r="B26" i="34"/>
  <c r="C26" i="34"/>
  <c r="B19" i="33"/>
  <c r="C19" i="33"/>
  <c r="B20" i="33"/>
  <c r="C20" i="33"/>
  <c r="B21" i="33"/>
  <c r="C21" i="33"/>
  <c r="B22" i="33"/>
  <c r="C22" i="33"/>
  <c r="B23" i="33"/>
  <c r="C23" i="33"/>
  <c r="B24" i="33"/>
  <c r="C24" i="33"/>
  <c r="B25" i="33"/>
  <c r="C25" i="33"/>
  <c r="B26" i="33"/>
  <c r="C26" i="33"/>
  <c r="B19" i="32"/>
  <c r="C19" i="32"/>
  <c r="B20" i="32"/>
  <c r="C20" i="32"/>
  <c r="B21" i="32"/>
  <c r="C21" i="32"/>
  <c r="B22" i="32"/>
  <c r="C22" i="32"/>
  <c r="B23" i="32"/>
  <c r="C23" i="32"/>
  <c r="B24" i="32"/>
  <c r="C24" i="32"/>
  <c r="B25" i="32"/>
  <c r="C25" i="32"/>
  <c r="B26" i="32"/>
  <c r="C26" i="32"/>
  <c r="B19" i="31"/>
  <c r="C19" i="31"/>
  <c r="B20" i="31"/>
  <c r="C20" i="31"/>
  <c r="B21" i="31"/>
  <c r="C21" i="31"/>
  <c r="B22" i="31"/>
  <c r="C22" i="31"/>
  <c r="B23" i="31"/>
  <c r="C23" i="31"/>
  <c r="B24" i="31"/>
  <c r="C24" i="31"/>
  <c r="B25" i="31"/>
  <c r="C25" i="31"/>
  <c r="B26" i="31"/>
  <c r="C26" i="31"/>
  <c r="B19" i="30"/>
  <c r="C19" i="30"/>
  <c r="B20" i="30"/>
  <c r="C20" i="30"/>
  <c r="B21" i="30"/>
  <c r="C21" i="30"/>
  <c r="B22" i="30"/>
  <c r="C22" i="30"/>
  <c r="B23" i="30"/>
  <c r="C23" i="30"/>
  <c r="B24" i="30"/>
  <c r="C24" i="30"/>
  <c r="B25" i="30"/>
  <c r="C25" i="30"/>
  <c r="B26" i="30"/>
  <c r="C26" i="30"/>
  <c r="B19" i="29"/>
  <c r="C19" i="29"/>
  <c r="B20" i="29"/>
  <c r="C20" i="29"/>
  <c r="B21" i="29"/>
  <c r="C21" i="29"/>
  <c r="B22" i="29"/>
  <c r="C22" i="29"/>
  <c r="B23" i="29"/>
  <c r="C23" i="29"/>
  <c r="B24" i="29"/>
  <c r="C24" i="29"/>
  <c r="B25" i="29"/>
  <c r="C25" i="29"/>
  <c r="B26" i="29"/>
  <c r="C26" i="29"/>
  <c r="B19" i="12"/>
  <c r="C19" i="12"/>
  <c r="B20" i="12"/>
  <c r="C20" i="12"/>
  <c r="B21" i="12"/>
  <c r="C21" i="12"/>
  <c r="B22" i="12"/>
  <c r="C22" i="12"/>
  <c r="B23" i="12"/>
  <c r="C23" i="12"/>
  <c r="B24" i="12"/>
  <c r="C24" i="12"/>
  <c r="B25" i="12"/>
  <c r="C25" i="12"/>
  <c r="B26" i="12"/>
  <c r="C26" i="12"/>
  <c r="B19" i="23"/>
  <c r="C19" i="23"/>
  <c r="B20" i="23"/>
  <c r="C20" i="23"/>
  <c r="B21" i="23"/>
  <c r="C21" i="23"/>
  <c r="B22" i="23"/>
  <c r="C22" i="23"/>
  <c r="B23" i="23"/>
  <c r="C23" i="23"/>
  <c r="B24" i="23"/>
  <c r="C24" i="23"/>
  <c r="B25" i="23"/>
  <c r="C25" i="23"/>
  <c r="B26" i="23"/>
  <c r="C26" i="23"/>
  <c r="B19" i="22"/>
  <c r="C19" i="22"/>
  <c r="B20" i="22"/>
  <c r="C20" i="22"/>
  <c r="B21" i="22"/>
  <c r="C21" i="22"/>
  <c r="B22" i="22"/>
  <c r="C22" i="22"/>
  <c r="B23" i="22"/>
  <c r="C23" i="22"/>
  <c r="B24" i="22"/>
  <c r="C24" i="22"/>
  <c r="B25" i="22"/>
  <c r="C25" i="22"/>
  <c r="B26" i="22"/>
  <c r="C26" i="22"/>
  <c r="B19" i="21"/>
  <c r="C19" i="21"/>
  <c r="B20" i="21"/>
  <c r="C20" i="21"/>
  <c r="B21" i="21"/>
  <c r="C21" i="21"/>
  <c r="B22" i="21"/>
  <c r="C22" i="21"/>
  <c r="B23" i="21"/>
  <c r="C23" i="21"/>
  <c r="B24" i="21"/>
  <c r="C24" i="21"/>
  <c r="B25" i="21"/>
  <c r="C25" i="21"/>
  <c r="B26" i="21"/>
  <c r="C26" i="21"/>
  <c r="B19" i="20"/>
  <c r="C19" i="20"/>
  <c r="B20" i="20"/>
  <c r="C20" i="20"/>
  <c r="B21" i="20"/>
  <c r="C21" i="20"/>
  <c r="B22" i="20"/>
  <c r="C22" i="20"/>
  <c r="B23" i="20"/>
  <c r="C23" i="20"/>
  <c r="B24" i="20"/>
  <c r="C24" i="20"/>
  <c r="B25" i="20"/>
  <c r="C25" i="20"/>
  <c r="B26" i="20"/>
  <c r="C26" i="20"/>
  <c r="B19" i="19"/>
  <c r="C19" i="19"/>
  <c r="B20" i="19"/>
  <c r="C20" i="19"/>
  <c r="B21" i="19"/>
  <c r="C21" i="19"/>
  <c r="B22" i="19"/>
  <c r="C22" i="19"/>
  <c r="B23" i="19"/>
  <c r="C23" i="19"/>
  <c r="B24" i="19"/>
  <c r="C24" i="19"/>
  <c r="B25" i="19"/>
  <c r="C25" i="19"/>
  <c r="B26" i="19"/>
  <c r="C26" i="19"/>
  <c r="B19" i="28"/>
  <c r="C19" i="28"/>
  <c r="B20" i="28"/>
  <c r="C20" i="28"/>
  <c r="B21" i="28"/>
  <c r="C21" i="28"/>
  <c r="B22" i="28"/>
  <c r="C22" i="28"/>
  <c r="B23" i="28"/>
  <c r="C23" i="28"/>
  <c r="B24" i="28"/>
  <c r="C24" i="28"/>
  <c r="B25" i="28"/>
  <c r="C25" i="28"/>
  <c r="B26" i="28"/>
  <c r="C26" i="28"/>
  <c r="B19" i="27"/>
  <c r="C19" i="27"/>
  <c r="B20" i="27"/>
  <c r="C20" i="27"/>
  <c r="B21" i="27"/>
  <c r="C21" i="27"/>
  <c r="B22" i="27"/>
  <c r="C22" i="27"/>
  <c r="B23" i="27"/>
  <c r="C23" i="27"/>
  <c r="B24" i="27"/>
  <c r="C24" i="27"/>
  <c r="B25" i="27"/>
  <c r="C25" i="27"/>
  <c r="B26" i="27"/>
  <c r="C26" i="27"/>
  <c r="B19" i="26"/>
  <c r="C19" i="26"/>
  <c r="B20" i="26"/>
  <c r="C20" i="26"/>
  <c r="B21" i="26"/>
  <c r="C21" i="26"/>
  <c r="B22" i="26"/>
  <c r="C22" i="26"/>
  <c r="B23" i="26"/>
  <c r="C23" i="26"/>
  <c r="B24" i="26"/>
  <c r="C24" i="26"/>
  <c r="B25" i="26"/>
  <c r="C25" i="26"/>
  <c r="B26" i="26"/>
  <c r="C26" i="26"/>
  <c r="B19" i="25"/>
  <c r="C19" i="25"/>
  <c r="B20" i="25"/>
  <c r="C20" i="25"/>
  <c r="B21" i="25"/>
  <c r="C21" i="25"/>
  <c r="B22" i="25"/>
  <c r="C22" i="25"/>
  <c r="B23" i="25"/>
  <c r="C23" i="25"/>
  <c r="B24" i="25"/>
  <c r="C24" i="25"/>
  <c r="B25" i="25"/>
  <c r="C25" i="25"/>
  <c r="B26" i="25"/>
  <c r="C26" i="25"/>
  <c r="B19" i="24"/>
  <c r="C19" i="24"/>
  <c r="B20" i="24"/>
  <c r="C20" i="24"/>
  <c r="B21" i="24"/>
  <c r="C21" i="24"/>
  <c r="B22" i="24"/>
  <c r="C22" i="24"/>
  <c r="B23" i="24"/>
  <c r="C23" i="24"/>
  <c r="B24" i="24"/>
  <c r="C24" i="24"/>
  <c r="B25" i="24"/>
  <c r="C25" i="24"/>
  <c r="B26" i="24"/>
  <c r="C26" i="24"/>
  <c r="B19" i="18"/>
  <c r="C19" i="18"/>
  <c r="B20" i="18"/>
  <c r="C20" i="18"/>
  <c r="B21" i="18"/>
  <c r="C21" i="18"/>
  <c r="B22" i="18"/>
  <c r="C22" i="18"/>
  <c r="B23" i="18"/>
  <c r="C23" i="18"/>
  <c r="B24" i="18"/>
  <c r="C24" i="18"/>
  <c r="B25" i="18"/>
  <c r="C25" i="18"/>
  <c r="B26" i="18"/>
  <c r="C26" i="18"/>
  <c r="B19" i="16"/>
  <c r="C19" i="16"/>
  <c r="B20" i="16"/>
  <c r="C20" i="16"/>
  <c r="B21" i="16"/>
  <c r="C21" i="16"/>
  <c r="B22" i="16"/>
  <c r="C22" i="16"/>
  <c r="B23" i="16"/>
  <c r="C23" i="16"/>
  <c r="B24" i="16"/>
  <c r="C24" i="16"/>
  <c r="B25" i="16"/>
  <c r="C25" i="16"/>
  <c r="B26" i="16"/>
  <c r="C26" i="16"/>
  <c r="C6" i="2"/>
  <c r="F14" i="2" s="1"/>
  <c r="F17" i="2" s="1"/>
  <c r="D12" i="2"/>
  <c r="D14" i="2"/>
  <c r="D26" i="2"/>
  <c r="D28" i="2" s="1"/>
  <c r="H30" i="2" s="1"/>
  <c r="F26" i="2"/>
  <c r="F28" i="2" s="1"/>
  <c r="D36" i="2"/>
  <c r="F36" i="2"/>
  <c r="D39" i="2"/>
  <c r="F39" i="2"/>
  <c r="D42" i="2"/>
  <c r="F42" i="2"/>
  <c r="H44" i="2"/>
  <c r="C4" i="7"/>
  <c r="D13" i="7"/>
  <c r="D18" i="7" s="1"/>
  <c r="D15" i="7"/>
  <c r="F15" i="7"/>
  <c r="F18" i="7" s="1"/>
  <c r="D27" i="7"/>
  <c r="D29" i="7" s="1"/>
  <c r="H31" i="7" s="1"/>
  <c r="F27" i="7"/>
  <c r="F29" i="7" s="1"/>
  <c r="D37" i="7"/>
  <c r="F37" i="7"/>
  <c r="D40" i="7"/>
  <c r="D43" i="7" s="1"/>
  <c r="H45" i="7" s="1"/>
  <c r="F40" i="7"/>
  <c r="F43" i="7"/>
  <c r="D15" i="6"/>
  <c r="W15" i="6"/>
  <c r="D16" i="6"/>
  <c r="W16" i="6"/>
  <c r="D17" i="6"/>
  <c r="W17" i="6"/>
  <c r="D18" i="6"/>
  <c r="W18" i="6"/>
  <c r="D19" i="6"/>
  <c r="W19" i="6"/>
  <c r="D20" i="6"/>
  <c r="W20" i="6"/>
  <c r="D21" i="6"/>
  <c r="W21" i="6"/>
  <c r="D22" i="6"/>
  <c r="W22" i="6"/>
  <c r="F35" i="6"/>
  <c r="C56" i="6" s="1"/>
  <c r="F36" i="6"/>
  <c r="F37" i="6"/>
  <c r="C58" i="6" s="1"/>
  <c r="F38" i="6"/>
  <c r="C59" i="6" s="1"/>
  <c r="F39" i="6"/>
  <c r="C60" i="6" s="1"/>
  <c r="A46" i="6"/>
  <c r="A89" i="6" s="1"/>
  <c r="A47" i="6"/>
  <c r="A90" i="6" s="1"/>
  <c r="C57" i="6"/>
  <c r="C66" i="6"/>
  <c r="C67" i="6"/>
  <c r="D74" i="6"/>
  <c r="D81" i="6"/>
  <c r="F81" i="6"/>
  <c r="D82" i="6"/>
  <c r="F82" i="6"/>
  <c r="D83" i="6"/>
  <c r="F83" i="6"/>
  <c r="D84" i="6"/>
  <c r="F84" i="6"/>
  <c r="D85" i="6"/>
  <c r="F85" i="6"/>
  <c r="D165" i="6"/>
  <c r="D106" i="6"/>
  <c r="W106" i="6"/>
  <c r="D107" i="6"/>
  <c r="W107" i="6"/>
  <c r="D108" i="6"/>
  <c r="W108" i="6"/>
  <c r="D109" i="6"/>
  <c r="W109" i="6"/>
  <c r="D110" i="6"/>
  <c r="W110" i="6"/>
  <c r="D111" i="6"/>
  <c r="W111" i="6"/>
  <c r="D112" i="6"/>
  <c r="W112" i="6"/>
  <c r="D113" i="6"/>
  <c r="W113" i="6"/>
  <c r="B120" i="6"/>
  <c r="A123" i="6"/>
  <c r="B123" i="6"/>
  <c r="F126" i="6"/>
  <c r="C147" i="6" s="1"/>
  <c r="F127" i="6"/>
  <c r="C148" i="6" s="1"/>
  <c r="F129" i="6"/>
  <c r="C150" i="6" s="1"/>
  <c r="F130" i="6"/>
  <c r="C151" i="6" s="1"/>
  <c r="A137" i="6"/>
  <c r="A138" i="6"/>
  <c r="A154" i="6"/>
  <c r="F172" i="6"/>
  <c r="D173" i="6"/>
  <c r="F173" i="6"/>
  <c r="F174" i="6"/>
  <c r="D175" i="6"/>
  <c r="F175" i="6"/>
  <c r="F176" i="6"/>
  <c r="E16" i="3"/>
  <c r="E17" i="3"/>
  <c r="E18" i="3"/>
  <c r="E19" i="3"/>
  <c r="E20" i="3"/>
  <c r="E21" i="3"/>
  <c r="F43" i="3"/>
  <c r="F44" i="3"/>
  <c r="F45" i="3"/>
  <c r="F46" i="3"/>
  <c r="F47" i="3"/>
  <c r="A50" i="3"/>
  <c r="A51" i="3"/>
  <c r="G62" i="3"/>
  <c r="E68" i="3"/>
  <c r="E69" i="3"/>
  <c r="E70" i="3"/>
  <c r="E71" i="3"/>
  <c r="E72" i="3"/>
  <c r="E73" i="3"/>
  <c r="A78" i="3"/>
  <c r="C80" i="3"/>
  <c r="A93" i="3"/>
  <c r="A94" i="3"/>
  <c r="F103" i="3"/>
  <c r="F104" i="3"/>
  <c r="F105" i="3"/>
  <c r="F106" i="3"/>
  <c r="F107" i="3"/>
  <c r="H75" i="3" l="1"/>
  <c r="D105" i="3" s="1"/>
  <c r="H23" i="3"/>
  <c r="D43" i="3" s="1"/>
  <c r="D17" i="2"/>
  <c r="H19" i="2" s="1"/>
  <c r="D47" i="2" s="1"/>
  <c r="F47" i="2" s="1"/>
  <c r="H20" i="7"/>
  <c r="D176" i="6"/>
  <c r="D174" i="6"/>
  <c r="D172" i="6"/>
  <c r="C68" i="6"/>
  <c r="C157" i="6"/>
  <c r="C69" i="6"/>
  <c r="C161" i="6"/>
  <c r="C160" i="6"/>
  <c r="C70" i="6"/>
  <c r="C158" i="6"/>
  <c r="F128" i="6"/>
  <c r="G24" i="6"/>
  <c r="E43" i="6" s="1"/>
  <c r="D56" i="6" s="1"/>
  <c r="F56" i="6" s="1"/>
  <c r="E81" i="6" s="1"/>
  <c r="G115" i="6"/>
  <c r="E134" i="6" s="1"/>
  <c r="D149" i="6" s="1"/>
  <c r="D107" i="3" l="1"/>
  <c r="D103" i="3"/>
  <c r="D106" i="3"/>
  <c r="D104" i="3"/>
  <c r="D45" i="3"/>
  <c r="D47" i="3"/>
  <c r="D44" i="3"/>
  <c r="D46" i="3"/>
  <c r="D48" i="7"/>
  <c r="E28" i="6" s="1"/>
  <c r="E119" i="6"/>
  <c r="F79" i="3"/>
  <c r="D5" i="41"/>
  <c r="D5" i="39"/>
  <c r="D5" i="37"/>
  <c r="D5" i="14"/>
  <c r="D5" i="34"/>
  <c r="D5" i="32"/>
  <c r="D5" i="30"/>
  <c r="D5" i="12"/>
  <c r="D5" i="22"/>
  <c r="D5" i="20"/>
  <c r="D5" i="28"/>
  <c r="D5" i="26"/>
  <c r="D5" i="42"/>
  <c r="D5" i="40"/>
  <c r="D5" i="38"/>
  <c r="D5" i="36"/>
  <c r="D5" i="35"/>
  <c r="D5" i="33"/>
  <c r="D5" i="31"/>
  <c r="D5" i="29"/>
  <c r="D5" i="23"/>
  <c r="D5" i="21"/>
  <c r="D5" i="19"/>
  <c r="D5" i="27"/>
  <c r="D5" i="18"/>
  <c r="D5" i="25"/>
  <c r="D5" i="24"/>
  <c r="D5" i="16"/>
  <c r="C149" i="6"/>
  <c r="C159" i="6"/>
  <c r="F149" i="6"/>
  <c r="E174" i="6" s="1"/>
  <c r="D59" i="6"/>
  <c r="F59" i="6" s="1"/>
  <c r="E84" i="6" s="1"/>
  <c r="D57" i="6"/>
  <c r="F57" i="6" s="1"/>
  <c r="E82" i="6" s="1"/>
  <c r="D58" i="6"/>
  <c r="F58" i="6" s="1"/>
  <c r="E83" i="6" s="1"/>
  <c r="E45" i="6"/>
  <c r="D68" i="6" s="1"/>
  <c r="E68" i="6" s="1"/>
  <c r="D60" i="6"/>
  <c r="F60" i="6" s="1"/>
  <c r="E85" i="6" s="1"/>
  <c r="E136" i="6"/>
  <c r="D158" i="6" s="1"/>
  <c r="E158" i="6" s="1"/>
  <c r="D150" i="6"/>
  <c r="F150" i="6" s="1"/>
  <c r="E175" i="6" s="1"/>
  <c r="D147" i="6"/>
  <c r="F147" i="6" s="1"/>
  <c r="E172" i="6" s="1"/>
  <c r="D148" i="6"/>
  <c r="F148" i="6" s="1"/>
  <c r="E173" i="6" s="1"/>
  <c r="D151" i="6"/>
  <c r="F151" i="6" s="1"/>
  <c r="E176" i="6" s="1"/>
  <c r="F27" i="3" l="1"/>
  <c r="F48" i="7"/>
  <c r="D4" i="41" s="1"/>
  <c r="D4" i="12"/>
  <c r="G14" i="12" s="1"/>
  <c r="G37" i="3" s="1"/>
  <c r="E47" i="3" s="1"/>
  <c r="H47" i="3" s="1"/>
  <c r="D4" i="16"/>
  <c r="G11" i="16" s="1"/>
  <c r="D4" i="26"/>
  <c r="G12" i="26" s="1"/>
  <c r="D4" i="25"/>
  <c r="G10" i="25" s="1"/>
  <c r="D4" i="33"/>
  <c r="G11" i="33" s="1"/>
  <c r="D4" i="40"/>
  <c r="G11" i="40" s="1"/>
  <c r="D4" i="20"/>
  <c r="G12" i="20" s="1"/>
  <c r="D4" i="39"/>
  <c r="G12" i="39" s="1"/>
  <c r="D4" i="24"/>
  <c r="G9" i="24" s="1"/>
  <c r="D4" i="18"/>
  <c r="G12" i="18" s="1"/>
  <c r="D4" i="23"/>
  <c r="G11" i="23" s="1"/>
  <c r="D4" i="31"/>
  <c r="G9" i="31" s="1"/>
  <c r="D4" i="35"/>
  <c r="G11" i="35" s="1"/>
  <c r="D4" i="42"/>
  <c r="G11" i="42" s="1"/>
  <c r="D4" i="28"/>
  <c r="G10" i="28" s="1"/>
  <c r="D4" i="22"/>
  <c r="G12" i="22" s="1"/>
  <c r="D4" i="34"/>
  <c r="G12" i="34" s="1"/>
  <c r="D4" i="37"/>
  <c r="G10" i="37" s="1"/>
  <c r="G10" i="26"/>
  <c r="G14" i="26"/>
  <c r="G12" i="12"/>
  <c r="G35" i="3" s="1"/>
  <c r="E45" i="3" s="1"/>
  <c r="H45" i="3" s="1"/>
  <c r="H9" i="16"/>
  <c r="H11" i="16"/>
  <c r="H13" i="16"/>
  <c r="H10" i="16"/>
  <c r="H12" i="16"/>
  <c r="H14" i="16"/>
  <c r="H9" i="27"/>
  <c r="H11" i="27"/>
  <c r="H13" i="27"/>
  <c r="H10" i="27"/>
  <c r="H12" i="27"/>
  <c r="H14" i="27"/>
  <c r="H9" i="29"/>
  <c r="H11" i="29"/>
  <c r="H13" i="29"/>
  <c r="H10" i="29"/>
  <c r="H12" i="29"/>
  <c r="H14" i="29"/>
  <c r="H9" i="36"/>
  <c r="H11" i="36"/>
  <c r="H13" i="36"/>
  <c r="H10" i="36"/>
  <c r="H12" i="36"/>
  <c r="H14" i="36"/>
  <c r="H10" i="26"/>
  <c r="H12" i="26"/>
  <c r="H9" i="26"/>
  <c r="H11" i="26"/>
  <c r="H14" i="26"/>
  <c r="H13" i="26"/>
  <c r="H10" i="12"/>
  <c r="H12" i="12"/>
  <c r="G88" i="3" s="1"/>
  <c r="E105" i="3" s="1"/>
  <c r="H105" i="3" s="1"/>
  <c r="H14" i="12"/>
  <c r="G90" i="3" s="1"/>
  <c r="E107" i="3" s="1"/>
  <c r="H107" i="3" s="1"/>
  <c r="H9" i="12"/>
  <c r="G86" i="3" s="1"/>
  <c r="E103" i="3" s="1"/>
  <c r="H103" i="3" s="1"/>
  <c r="E112" i="3" s="1"/>
  <c r="H11" i="12"/>
  <c r="G87" i="3" s="1"/>
  <c r="E104" i="3" s="1"/>
  <c r="H104" i="3" s="1"/>
  <c r="E113" i="3" s="1"/>
  <c r="H13" i="12"/>
  <c r="G89" i="3" s="1"/>
  <c r="E106" i="3" s="1"/>
  <c r="H106" i="3" s="1"/>
  <c r="H10" i="14"/>
  <c r="H12" i="14"/>
  <c r="H14" i="14"/>
  <c r="H9" i="14"/>
  <c r="H11" i="14"/>
  <c r="H13" i="14"/>
  <c r="G10" i="31"/>
  <c r="G9" i="28"/>
  <c r="G9" i="37"/>
  <c r="H9" i="24"/>
  <c r="H11" i="24"/>
  <c r="H13" i="24"/>
  <c r="H10" i="24"/>
  <c r="H12" i="24"/>
  <c r="H14" i="24"/>
  <c r="H9" i="19"/>
  <c r="H11" i="19"/>
  <c r="H13" i="19"/>
  <c r="H10" i="19"/>
  <c r="H12" i="19"/>
  <c r="H14" i="19"/>
  <c r="H9" i="31"/>
  <c r="H11" i="31"/>
  <c r="H13" i="31"/>
  <c r="H10" i="31"/>
  <c r="H12" i="31"/>
  <c r="H14" i="31"/>
  <c r="H9" i="38"/>
  <c r="H11" i="38"/>
  <c r="H13" i="38"/>
  <c r="H10" i="38"/>
  <c r="H12" i="38"/>
  <c r="H14" i="38"/>
  <c r="H10" i="28"/>
  <c r="H12" i="28"/>
  <c r="H14" i="28"/>
  <c r="H9" i="28"/>
  <c r="H11" i="28"/>
  <c r="H13" i="28"/>
  <c r="H10" i="30"/>
  <c r="H12" i="30"/>
  <c r="H14" i="30"/>
  <c r="H9" i="30"/>
  <c r="H11" i="30"/>
  <c r="H13" i="30"/>
  <c r="H10" i="37"/>
  <c r="H12" i="37"/>
  <c r="H14" i="37"/>
  <c r="H9" i="37"/>
  <c r="H11" i="37"/>
  <c r="H13" i="37"/>
  <c r="G14" i="39"/>
  <c r="G11" i="39"/>
  <c r="H9" i="21"/>
  <c r="H11" i="21"/>
  <c r="H13" i="21"/>
  <c r="H10" i="21"/>
  <c r="H12" i="21"/>
  <c r="H14" i="21"/>
  <c r="H9" i="40"/>
  <c r="H11" i="40"/>
  <c r="H13" i="40"/>
  <c r="H10" i="40"/>
  <c r="H12" i="40"/>
  <c r="H14" i="40"/>
  <c r="H10" i="20"/>
  <c r="H12" i="20"/>
  <c r="H14" i="20"/>
  <c r="H9" i="20"/>
  <c r="H11" i="20"/>
  <c r="H13" i="20"/>
  <c r="H10" i="32"/>
  <c r="H12" i="32"/>
  <c r="H14" i="32"/>
  <c r="H9" i="32"/>
  <c r="H11" i="32"/>
  <c r="H13" i="32"/>
  <c r="H10" i="39"/>
  <c r="H12" i="39"/>
  <c r="H14" i="39"/>
  <c r="H9" i="39"/>
  <c r="H11" i="39"/>
  <c r="H13" i="39"/>
  <c r="G10" i="20"/>
  <c r="G14" i="20"/>
  <c r="H10" i="25"/>
  <c r="H12" i="25"/>
  <c r="H14" i="25"/>
  <c r="H9" i="25"/>
  <c r="H11" i="25"/>
  <c r="H13" i="25"/>
  <c r="H9" i="33"/>
  <c r="H11" i="33"/>
  <c r="H13" i="33"/>
  <c r="H10" i="33"/>
  <c r="H12" i="33"/>
  <c r="H14" i="33"/>
  <c r="G11" i="18"/>
  <c r="G9" i="23"/>
  <c r="G13" i="23"/>
  <c r="G12" i="23"/>
  <c r="G9" i="35"/>
  <c r="G9" i="42"/>
  <c r="G13" i="42"/>
  <c r="G12" i="42"/>
  <c r="G11" i="22"/>
  <c r="G10" i="41"/>
  <c r="G12" i="41"/>
  <c r="G14" i="41"/>
  <c r="G9" i="41"/>
  <c r="G11" i="41"/>
  <c r="G13" i="41"/>
  <c r="H10" i="18"/>
  <c r="H12" i="18"/>
  <c r="H14" i="18"/>
  <c r="H9" i="18"/>
  <c r="H11" i="18"/>
  <c r="H13" i="18"/>
  <c r="H9" i="23"/>
  <c r="H11" i="23"/>
  <c r="H13" i="23"/>
  <c r="H10" i="23"/>
  <c r="H12" i="23"/>
  <c r="H14" i="23"/>
  <c r="H9" i="35"/>
  <c r="H11" i="35"/>
  <c r="H13" i="35"/>
  <c r="H10" i="35"/>
  <c r="H12" i="35"/>
  <c r="H14" i="35"/>
  <c r="H9" i="42"/>
  <c r="H11" i="42"/>
  <c r="H13" i="42"/>
  <c r="H10" i="42"/>
  <c r="H12" i="42"/>
  <c r="H14" i="42"/>
  <c r="H10" i="22"/>
  <c r="H12" i="22"/>
  <c r="H14" i="22"/>
  <c r="H9" i="22"/>
  <c r="H11" i="22"/>
  <c r="H13" i="22"/>
  <c r="H10" i="34"/>
  <c r="H12" i="34"/>
  <c r="H14" i="34"/>
  <c r="H9" i="34"/>
  <c r="H11" i="34"/>
  <c r="H13" i="34"/>
  <c r="H10" i="41"/>
  <c r="H12" i="41"/>
  <c r="H14" i="41"/>
  <c r="H9" i="41"/>
  <c r="H11" i="41"/>
  <c r="H13" i="41"/>
  <c r="D67" i="6"/>
  <c r="E67" i="6" s="1"/>
  <c r="O67" i="6" s="1"/>
  <c r="D70" i="6"/>
  <c r="E70" i="6" s="1"/>
  <c r="S70" i="6" s="1"/>
  <c r="D66" i="6"/>
  <c r="E66" i="6" s="1"/>
  <c r="O66" i="6" s="1"/>
  <c r="D69" i="6"/>
  <c r="E69" i="6" s="1"/>
  <c r="O69" i="6" s="1"/>
  <c r="D160" i="6"/>
  <c r="E160" i="6" s="1"/>
  <c r="Q160" i="6" s="1"/>
  <c r="D157" i="6"/>
  <c r="E157" i="6" s="1"/>
  <c r="M157" i="6" s="1"/>
  <c r="D161" i="6"/>
  <c r="E161" i="6" s="1"/>
  <c r="Q161" i="6" s="1"/>
  <c r="D159" i="6"/>
  <c r="E159" i="6" s="1"/>
  <c r="M159" i="6" s="1"/>
  <c r="K68" i="6"/>
  <c r="O68" i="6"/>
  <c r="S68" i="6"/>
  <c r="L68" i="6"/>
  <c r="P68" i="6"/>
  <c r="T68" i="6"/>
  <c r="M68" i="6"/>
  <c r="Q68" i="6"/>
  <c r="U68" i="6"/>
  <c r="N68" i="6"/>
  <c r="R68" i="6"/>
  <c r="V68" i="6"/>
  <c r="M158" i="6"/>
  <c r="Q158" i="6"/>
  <c r="U158" i="6"/>
  <c r="N158" i="6"/>
  <c r="R158" i="6"/>
  <c r="V158" i="6"/>
  <c r="T158" i="6"/>
  <c r="K158" i="6"/>
  <c r="O158" i="6"/>
  <c r="S158" i="6"/>
  <c r="L158" i="6"/>
  <c r="P158" i="6"/>
  <c r="K67" i="6"/>
  <c r="S67" i="6"/>
  <c r="P67" i="6"/>
  <c r="M67" i="6"/>
  <c r="U67" i="6"/>
  <c r="V67" i="6"/>
  <c r="M160" i="6"/>
  <c r="R160" i="6"/>
  <c r="O160" i="6"/>
  <c r="O70" i="6"/>
  <c r="P70" i="6"/>
  <c r="Q70" i="6"/>
  <c r="N70" i="6"/>
  <c r="P66" i="6"/>
  <c r="P157" i="6"/>
  <c r="G10" i="39" l="1"/>
  <c r="D4" i="14"/>
  <c r="G10" i="14" s="1"/>
  <c r="D4" i="27"/>
  <c r="G11" i="34"/>
  <c r="G13" i="33"/>
  <c r="G9" i="25"/>
  <c r="G13" i="12"/>
  <c r="G36" i="3" s="1"/>
  <c r="E46" i="3" s="1"/>
  <c r="H46" i="3" s="1"/>
  <c r="G14" i="34"/>
  <c r="G9" i="33"/>
  <c r="G10" i="34"/>
  <c r="G9" i="16"/>
  <c r="G13" i="35"/>
  <c r="G12" i="33"/>
  <c r="G10" i="24"/>
  <c r="G12" i="37"/>
  <c r="G12" i="28"/>
  <c r="G11" i="31"/>
  <c r="G11" i="24"/>
  <c r="G13" i="14"/>
  <c r="G11" i="12"/>
  <c r="G34" i="3" s="1"/>
  <c r="E44" i="3" s="1"/>
  <c r="H44" i="3" s="1"/>
  <c r="D113" i="3" s="1"/>
  <c r="F113" i="3" s="1"/>
  <c r="G113" i="3" s="1"/>
  <c r="G10" i="12"/>
  <c r="G12" i="40"/>
  <c r="G13" i="40"/>
  <c r="G9" i="14"/>
  <c r="G9" i="12"/>
  <c r="G33" i="3" s="1"/>
  <c r="E43" i="3" s="1"/>
  <c r="H43" i="3" s="1"/>
  <c r="D112" i="3" s="1"/>
  <c r="F112" i="3" s="1"/>
  <c r="G112" i="3" s="1"/>
  <c r="G11" i="26"/>
  <c r="G13" i="16"/>
  <c r="D4" i="30"/>
  <c r="G13" i="30" s="1"/>
  <c r="D4" i="38"/>
  <c r="G10" i="38" s="1"/>
  <c r="D4" i="19"/>
  <c r="G14" i="19" s="1"/>
  <c r="D4" i="32"/>
  <c r="D4" i="21"/>
  <c r="G9" i="21" s="1"/>
  <c r="D4" i="29"/>
  <c r="G11" i="29" s="1"/>
  <c r="D4" i="36"/>
  <c r="G11" i="36" s="1"/>
  <c r="G9" i="40"/>
  <c r="G13" i="37"/>
  <c r="G13" i="28"/>
  <c r="G14" i="31"/>
  <c r="G14" i="24"/>
  <c r="G12" i="14"/>
  <c r="G14" i="36"/>
  <c r="G14" i="22"/>
  <c r="G14" i="18"/>
  <c r="G11" i="25"/>
  <c r="G12" i="36"/>
  <c r="G9" i="36"/>
  <c r="G10" i="29"/>
  <c r="G10" i="22"/>
  <c r="G12" i="35"/>
  <c r="G10" i="18"/>
  <c r="G11" i="20"/>
  <c r="G12" i="25"/>
  <c r="G12" i="16"/>
  <c r="T160" i="6"/>
  <c r="L160" i="6"/>
  <c r="U160" i="6"/>
  <c r="V70" i="6"/>
  <c r="U70" i="6"/>
  <c r="T70" i="6"/>
  <c r="L70" i="6"/>
  <c r="K70" i="6"/>
  <c r="G13" i="26"/>
  <c r="G9" i="26"/>
  <c r="G14" i="16"/>
  <c r="G10" i="16"/>
  <c r="G14" i="40"/>
  <c r="G10" i="40"/>
  <c r="G11" i="37"/>
  <c r="G14" i="37"/>
  <c r="G11" i="28"/>
  <c r="G14" i="28"/>
  <c r="G12" i="38"/>
  <c r="G12" i="31"/>
  <c r="G13" i="31"/>
  <c r="G12" i="19"/>
  <c r="G12" i="24"/>
  <c r="G13" i="24"/>
  <c r="G12" i="29"/>
  <c r="G11" i="14"/>
  <c r="G14" i="14"/>
  <c r="G13" i="34"/>
  <c r="G9" i="34"/>
  <c r="G13" i="22"/>
  <c r="G9" i="22"/>
  <c r="G14" i="42"/>
  <c r="G10" i="42"/>
  <c r="G14" i="35"/>
  <c r="G10" i="35"/>
  <c r="G14" i="23"/>
  <c r="G10" i="23"/>
  <c r="G13" i="18"/>
  <c r="G9" i="18"/>
  <c r="G13" i="20"/>
  <c r="G9" i="20"/>
  <c r="G14" i="33"/>
  <c r="G10" i="33"/>
  <c r="G13" i="39"/>
  <c r="G9" i="39"/>
  <c r="G13" i="25"/>
  <c r="G14" i="25"/>
  <c r="T157" i="6"/>
  <c r="Q157" i="6"/>
  <c r="L66" i="6"/>
  <c r="P160" i="6"/>
  <c r="S160" i="6"/>
  <c r="F160" i="6" s="1"/>
  <c r="C175" i="6" s="1"/>
  <c r="G175" i="6" s="1"/>
  <c r="D184" i="6" s="1"/>
  <c r="K160" i="6"/>
  <c r="V160" i="6"/>
  <c r="N160" i="6"/>
  <c r="N67" i="6"/>
  <c r="R67" i="6"/>
  <c r="Q67" i="6"/>
  <c r="T67" i="6"/>
  <c r="L67" i="6"/>
  <c r="K157" i="6"/>
  <c r="V157" i="6"/>
  <c r="L157" i="6"/>
  <c r="N157" i="6"/>
  <c r="K161" i="6"/>
  <c r="O157" i="6"/>
  <c r="U157" i="6"/>
  <c r="V69" i="6"/>
  <c r="U69" i="6"/>
  <c r="T161" i="6"/>
  <c r="L69" i="6"/>
  <c r="K159" i="6"/>
  <c r="M161" i="6"/>
  <c r="K69" i="6"/>
  <c r="S157" i="6"/>
  <c r="R157" i="6"/>
  <c r="R70" i="6"/>
  <c r="M70" i="6"/>
  <c r="R159" i="6"/>
  <c r="T159" i="6"/>
  <c r="N161" i="6"/>
  <c r="R66" i="6"/>
  <c r="V159" i="6"/>
  <c r="P161" i="6"/>
  <c r="L161" i="6"/>
  <c r="P69" i="6"/>
  <c r="U66" i="6"/>
  <c r="L159" i="6"/>
  <c r="U159" i="6"/>
  <c r="S161" i="6"/>
  <c r="U161" i="6"/>
  <c r="S66" i="6"/>
  <c r="S159" i="6"/>
  <c r="N159" i="6"/>
  <c r="Q159" i="6"/>
  <c r="V161" i="6"/>
  <c r="Q66" i="6"/>
  <c r="O161" i="6"/>
  <c r="R161" i="6"/>
  <c r="Q69" i="6"/>
  <c r="V66" i="6"/>
  <c r="M66" i="6"/>
  <c r="K66" i="6"/>
  <c r="O159" i="6"/>
  <c r="P159" i="6"/>
  <c r="R69" i="6"/>
  <c r="M69" i="6"/>
  <c r="S69" i="6"/>
  <c r="N69" i="6"/>
  <c r="T69" i="6"/>
  <c r="N66" i="6"/>
  <c r="T66" i="6"/>
  <c r="F70" i="6"/>
  <c r="C85" i="6" s="1"/>
  <c r="G85" i="6" s="1"/>
  <c r="C185" i="6" s="1"/>
  <c r="F68" i="6"/>
  <c r="C83" i="6" s="1"/>
  <c r="G83" i="6" s="1"/>
  <c r="C183" i="6" s="1"/>
  <c r="F158" i="6"/>
  <c r="C173" i="6" s="1"/>
  <c r="G173" i="6" s="1"/>
  <c r="D182" i="6" s="1"/>
  <c r="G13" i="27" l="1"/>
  <c r="G14" i="27"/>
  <c r="G10" i="27"/>
  <c r="G9" i="27"/>
  <c r="G12" i="27"/>
  <c r="G11" i="27"/>
  <c r="G11" i="21"/>
  <c r="G11" i="38"/>
  <c r="G13" i="29"/>
  <c r="G13" i="19"/>
  <c r="G13" i="38"/>
  <c r="G14" i="30"/>
  <c r="G10" i="19"/>
  <c r="G10" i="21"/>
  <c r="G11" i="30"/>
  <c r="G9" i="30"/>
  <c r="G14" i="21"/>
  <c r="G13" i="21"/>
  <c r="G10" i="32"/>
  <c r="G13" i="32"/>
  <c r="G12" i="21"/>
  <c r="G9" i="32"/>
  <c r="G10" i="36"/>
  <c r="G13" i="36"/>
  <c r="G9" i="19"/>
  <c r="G11" i="19"/>
  <c r="G14" i="32"/>
  <c r="G9" i="29"/>
  <c r="G14" i="29"/>
  <c r="G9" i="38"/>
  <c r="G14" i="38"/>
  <c r="G11" i="32"/>
  <c r="G12" i="32"/>
  <c r="G10" i="30"/>
  <c r="G12" i="30"/>
  <c r="F67" i="6"/>
  <c r="C82" i="6" s="1"/>
  <c r="G82" i="6" s="1"/>
  <c r="C182" i="6" s="1"/>
  <c r="E182" i="6" s="1"/>
  <c r="F182" i="6" s="1"/>
  <c r="F161" i="6"/>
  <c r="C176" i="6" s="1"/>
  <c r="G176" i="6" s="1"/>
  <c r="D185" i="6" s="1"/>
  <c r="E185" i="6" s="1"/>
  <c r="F185" i="6" s="1"/>
  <c r="F69" i="6"/>
  <c r="C84" i="6" s="1"/>
  <c r="G84" i="6" s="1"/>
  <c r="C184" i="6" s="1"/>
  <c r="E184" i="6" s="1"/>
  <c r="F184" i="6" s="1"/>
  <c r="F66" i="6"/>
  <c r="C81" i="6" s="1"/>
  <c r="G81" i="6" s="1"/>
  <c r="C181" i="6" s="1"/>
  <c r="F159" i="6"/>
  <c r="C174" i="6" s="1"/>
  <c r="G174" i="6" s="1"/>
  <c r="D183" i="6" s="1"/>
  <c r="E183" i="6" s="1"/>
  <c r="F183" i="6" s="1"/>
  <c r="F157" i="6"/>
  <c r="C172" i="6" s="1"/>
  <c r="G172" i="6" s="1"/>
  <c r="D181" i="6" s="1"/>
  <c r="E181" i="6" l="1"/>
  <c r="F181" i="6" s="1"/>
</calcChain>
</file>

<file path=xl/sharedStrings.xml><?xml version="1.0" encoding="utf-8"?>
<sst xmlns="http://schemas.openxmlformats.org/spreadsheetml/2006/main" count="1225" uniqueCount="432">
  <si>
    <t>Pre-Construction Runoff</t>
  </si>
  <si>
    <t xml:space="preserve">Drainage Area (acres) = </t>
  </si>
  <si>
    <t xml:space="preserve">Acres </t>
  </si>
  <si>
    <t>-</t>
  </si>
  <si>
    <t xml:space="preserve">Runoff Coefficient, C = </t>
  </si>
  <si>
    <t>C-value</t>
  </si>
  <si>
    <t>Description</t>
  </si>
  <si>
    <t xml:space="preserve">Weighted c-value = </t>
  </si>
  <si>
    <t xml:space="preserve">Time of Concentration, tc = </t>
  </si>
  <si>
    <t>See Time of Concentration Worksheet</t>
  </si>
  <si>
    <t xml:space="preserve">Rainfall Intensity, I = </t>
  </si>
  <si>
    <t>hours</t>
  </si>
  <si>
    <t>Rainfall Intensity</t>
  </si>
  <si>
    <t>Design Storm</t>
  </si>
  <si>
    <t>(in/hr)</t>
  </si>
  <si>
    <t>year</t>
  </si>
  <si>
    <t xml:space="preserve">Peak Runoff, Q = </t>
  </si>
  <si>
    <r>
      <t>Q = C</t>
    </r>
    <r>
      <rPr>
        <vertAlign val="subscript"/>
        <sz val="10"/>
        <rFont val="Arial"/>
        <family val="2"/>
      </rPr>
      <t>f</t>
    </r>
    <r>
      <rPr>
        <sz val="10"/>
        <rFont val="Arial"/>
        <family val="2"/>
      </rPr>
      <t>CIA</t>
    </r>
  </si>
  <si>
    <t>Cf</t>
  </si>
  <si>
    <t xml:space="preserve">C </t>
  </si>
  <si>
    <t xml:space="preserve">I </t>
  </si>
  <si>
    <t xml:space="preserve">A </t>
  </si>
  <si>
    <t>=</t>
  </si>
  <si>
    <t>Continued</t>
  </si>
  <si>
    <t>Post-Construction Runoff</t>
  </si>
  <si>
    <t xml:space="preserve">Proposed Conditions Total Drainage Area = </t>
  </si>
  <si>
    <t>acres</t>
  </si>
  <si>
    <t xml:space="preserve">Percent Increase = </t>
  </si>
  <si>
    <r>
      <t>Q</t>
    </r>
    <r>
      <rPr>
        <vertAlign val="subscript"/>
        <sz val="10"/>
        <rFont val="Arial"/>
        <family val="2"/>
      </rPr>
      <t>pre</t>
    </r>
  </si>
  <si>
    <r>
      <t>Q</t>
    </r>
    <r>
      <rPr>
        <vertAlign val="subscript"/>
        <sz val="10"/>
        <rFont val="Arial"/>
        <family val="2"/>
      </rPr>
      <t>post</t>
    </r>
  </si>
  <si>
    <r>
      <t>Q</t>
    </r>
    <r>
      <rPr>
        <vertAlign val="subscript"/>
        <sz val="10"/>
        <rFont val="Arial"/>
        <family val="2"/>
      </rPr>
      <t>increase</t>
    </r>
  </si>
  <si>
    <t>% Increase</t>
  </si>
  <si>
    <t>Q</t>
  </si>
  <si>
    <t>cfs</t>
  </si>
  <si>
    <t xml:space="preserve">Additional Impervious Area = </t>
  </si>
  <si>
    <t>PROJECT:</t>
  </si>
  <si>
    <t>ENGINEER:</t>
  </si>
  <si>
    <t>WATERSHED:</t>
  </si>
  <si>
    <t>DATE:</t>
  </si>
  <si>
    <t>APPROXIMATE STATION:</t>
  </si>
  <si>
    <t>SHEET FLOW:</t>
  </si>
  <si>
    <t>Segment</t>
  </si>
  <si>
    <t>1. Surface description</t>
  </si>
  <si>
    <t>2. Manning's roughness coeff., n</t>
  </si>
  <si>
    <t>3. Flow length, ft</t>
  </si>
  <si>
    <t>4. Two-yr 24-hr rainfall, in</t>
  </si>
  <si>
    <t>5. Land slope, ft/ft</t>
  </si>
  <si>
    <t>6. Computed Tc, hr</t>
  </si>
  <si>
    <t>Total Sheet Flow Tc, hr =</t>
  </si>
  <si>
    <t>SHALLOW CONCENTRATED FLOW:</t>
  </si>
  <si>
    <t>7. Surface description (paved or unpaved)</t>
  </si>
  <si>
    <t>Unpaved</t>
  </si>
  <si>
    <t>Paved</t>
  </si>
  <si>
    <t>8. Flow length, ft</t>
  </si>
  <si>
    <t>9. Watercourse slope, ft/ft</t>
  </si>
  <si>
    <t>10. Average velocity, ft/s</t>
  </si>
  <si>
    <t>11. Computed Tc, hr</t>
  </si>
  <si>
    <t>Total Shallow Conc. Flow Tc, hr =</t>
  </si>
  <si>
    <t>CHANNEL FLOW:</t>
  </si>
  <si>
    <r>
      <t>12. Cross Sectional Flow Area, ft</t>
    </r>
    <r>
      <rPr>
        <vertAlign val="superscript"/>
        <sz val="9"/>
        <rFont val="Arial"/>
        <family val="2"/>
      </rPr>
      <t>2</t>
    </r>
  </si>
  <si>
    <t>13. Wetted Perimeter, ft</t>
  </si>
  <si>
    <t>14. Hydraulic Radius, ft</t>
  </si>
  <si>
    <t>15. Channel Slope, ft/ft</t>
  </si>
  <si>
    <t>16. Manning's roughness coeff., n</t>
  </si>
  <si>
    <t xml:space="preserve"> </t>
  </si>
  <si>
    <t>17. Velocity, ft/s</t>
  </si>
  <si>
    <t>18. Flow Length, ft</t>
  </si>
  <si>
    <t>19. Computed Tc, hr</t>
  </si>
  <si>
    <t>Total Channel Flow Tc, hr =</t>
  </si>
  <si>
    <t xml:space="preserve">Time of Concentration = </t>
  </si>
  <si>
    <t>hr =</t>
  </si>
  <si>
    <t>min</t>
  </si>
  <si>
    <t>IDF DATA</t>
  </si>
  <si>
    <t>Recurrence</t>
  </si>
  <si>
    <t>Interval</t>
  </si>
  <si>
    <t>a</t>
  </si>
  <si>
    <t>b</t>
  </si>
  <si>
    <t>c</t>
  </si>
  <si>
    <t>Intensity</t>
  </si>
  <si>
    <t>CN</t>
  </si>
  <si>
    <t>Undeveloped</t>
  </si>
  <si>
    <t xml:space="preserve">Weighted CN-value = </t>
  </si>
  <si>
    <t>24 Hour Rainfall, P -</t>
  </si>
  <si>
    <t>(in)</t>
  </si>
  <si>
    <t>S = (1000/CN) - 10 =  in</t>
  </si>
  <si>
    <t>in</t>
  </si>
  <si>
    <t xml:space="preserve">Runoff, Q = </t>
  </si>
  <si>
    <t>P</t>
  </si>
  <si>
    <t>S</t>
  </si>
  <si>
    <t>csm/in</t>
  </si>
  <si>
    <t xml:space="preserve">Pond Factor, Fp = </t>
  </si>
  <si>
    <t>acres =</t>
  </si>
  <si>
    <t>Watershed Analysis</t>
  </si>
  <si>
    <t xml:space="preserve">Curve Number, CN = </t>
  </si>
  <si>
    <r>
      <t>Time of Concentration, t</t>
    </r>
    <r>
      <rPr>
        <u/>
        <vertAlign val="subscript"/>
        <sz val="9"/>
        <rFont val="Arial"/>
        <family val="2"/>
      </rPr>
      <t>c</t>
    </r>
    <r>
      <rPr>
        <u/>
        <sz val="9"/>
        <rFont val="Arial"/>
        <family val="2"/>
      </rPr>
      <t xml:space="preserve"> = </t>
    </r>
  </si>
  <si>
    <r>
      <t>Time of Concentration, t</t>
    </r>
    <r>
      <rPr>
        <vertAlign val="subscript"/>
        <sz val="9"/>
        <rFont val="Arial"/>
        <family val="2"/>
      </rPr>
      <t>c</t>
    </r>
    <r>
      <rPr>
        <sz val="9"/>
        <rFont val="Arial"/>
        <family val="2"/>
      </rPr>
      <t xml:space="preserve"> = </t>
    </r>
  </si>
  <si>
    <r>
      <t>Maximum Retention, S: Intial Abstraction, I</t>
    </r>
    <r>
      <rPr>
        <u/>
        <vertAlign val="subscript"/>
        <sz val="9"/>
        <rFont val="Arial"/>
        <family val="2"/>
      </rPr>
      <t>a</t>
    </r>
    <r>
      <rPr>
        <u/>
        <sz val="9"/>
        <rFont val="Arial"/>
        <family val="2"/>
      </rPr>
      <t xml:space="preserve"> = </t>
    </r>
  </si>
  <si>
    <r>
      <t>I</t>
    </r>
    <r>
      <rPr>
        <vertAlign val="subscript"/>
        <sz val="9"/>
        <rFont val="Arial"/>
        <family val="2"/>
      </rPr>
      <t>a</t>
    </r>
    <r>
      <rPr>
        <sz val="9"/>
        <rFont val="Arial"/>
        <family val="2"/>
      </rPr>
      <t xml:space="preserve"> = 0.2(S) = </t>
    </r>
  </si>
  <si>
    <r>
      <t>Q = (P-0.2S)</t>
    </r>
    <r>
      <rPr>
        <vertAlign val="superscript"/>
        <sz val="9"/>
        <rFont val="Arial"/>
        <family val="2"/>
      </rPr>
      <t>2</t>
    </r>
    <r>
      <rPr>
        <sz val="9"/>
        <rFont val="Arial"/>
        <family val="2"/>
      </rPr>
      <t xml:space="preserve"> / (P+0.8S)</t>
    </r>
  </si>
  <si>
    <r>
      <t>I</t>
    </r>
    <r>
      <rPr>
        <vertAlign val="subscript"/>
        <sz val="9"/>
        <rFont val="Arial"/>
        <family val="2"/>
      </rPr>
      <t>a</t>
    </r>
  </si>
  <si>
    <r>
      <t>I</t>
    </r>
    <r>
      <rPr>
        <vertAlign val="subscript"/>
        <sz val="9"/>
        <rFont val="Arial"/>
        <family val="2"/>
      </rPr>
      <t>a</t>
    </r>
    <r>
      <rPr>
        <sz val="9"/>
        <rFont val="Arial"/>
        <family val="2"/>
      </rPr>
      <t xml:space="preserve"> / p (max 0.50)</t>
    </r>
  </si>
  <si>
    <r>
      <t>q</t>
    </r>
    <r>
      <rPr>
        <vertAlign val="subscript"/>
        <sz val="9"/>
        <rFont val="Arial"/>
        <family val="2"/>
      </rPr>
      <t xml:space="preserve">u </t>
    </r>
  </si>
  <si>
    <r>
      <t>F</t>
    </r>
    <r>
      <rPr>
        <vertAlign val="subscript"/>
        <sz val="9"/>
        <rFont val="Arial"/>
        <family val="2"/>
      </rPr>
      <t>p</t>
    </r>
    <r>
      <rPr>
        <sz val="9"/>
        <rFont val="Arial"/>
        <family val="2"/>
      </rPr>
      <t xml:space="preserve"> = </t>
    </r>
  </si>
  <si>
    <r>
      <t>Peak Discharge, q</t>
    </r>
    <r>
      <rPr>
        <u/>
        <vertAlign val="subscript"/>
        <sz val="9"/>
        <rFont val="Arial"/>
        <family val="2"/>
      </rPr>
      <t>p</t>
    </r>
    <r>
      <rPr>
        <u/>
        <sz val="9"/>
        <rFont val="Arial"/>
        <family val="2"/>
      </rPr>
      <t xml:space="preserve"> = </t>
    </r>
  </si>
  <si>
    <r>
      <t>qp = q</t>
    </r>
    <r>
      <rPr>
        <vertAlign val="subscript"/>
        <sz val="9"/>
        <rFont val="Arial"/>
        <family val="2"/>
      </rPr>
      <t>u</t>
    </r>
    <r>
      <rPr>
        <sz val="9"/>
        <rFont val="Arial"/>
        <family val="2"/>
      </rPr>
      <t>A</t>
    </r>
    <r>
      <rPr>
        <vertAlign val="subscript"/>
        <sz val="9"/>
        <rFont val="Arial"/>
        <family val="2"/>
      </rPr>
      <t>m</t>
    </r>
    <r>
      <rPr>
        <sz val="9"/>
        <rFont val="Arial"/>
        <family val="2"/>
      </rPr>
      <t>QF</t>
    </r>
    <r>
      <rPr>
        <vertAlign val="subscript"/>
        <sz val="9"/>
        <rFont val="Arial"/>
        <family val="2"/>
      </rPr>
      <t>p</t>
    </r>
  </si>
  <si>
    <r>
      <t>A</t>
    </r>
    <r>
      <rPr>
        <vertAlign val="subscript"/>
        <sz val="9"/>
        <rFont val="Arial"/>
        <family val="2"/>
      </rPr>
      <t>m</t>
    </r>
  </si>
  <si>
    <r>
      <t>F</t>
    </r>
    <r>
      <rPr>
        <vertAlign val="subscript"/>
        <sz val="9"/>
        <rFont val="Arial"/>
        <family val="2"/>
      </rPr>
      <t>p</t>
    </r>
  </si>
  <si>
    <r>
      <t>q</t>
    </r>
    <r>
      <rPr>
        <vertAlign val="subscript"/>
        <sz val="9"/>
        <rFont val="Arial"/>
        <family val="2"/>
      </rPr>
      <t>p</t>
    </r>
  </si>
  <si>
    <r>
      <t>I</t>
    </r>
    <r>
      <rPr>
        <vertAlign val="subscript"/>
        <sz val="9"/>
        <rFont val="Arial"/>
        <family val="2"/>
      </rPr>
      <t>a</t>
    </r>
    <r>
      <rPr>
        <sz val="9"/>
        <rFont val="Arial"/>
        <family val="2"/>
      </rPr>
      <t xml:space="preserve"> / p     (max 0.50)</t>
    </r>
  </si>
  <si>
    <r>
      <t>Q</t>
    </r>
    <r>
      <rPr>
        <vertAlign val="subscript"/>
        <sz val="9"/>
        <rFont val="Arial"/>
        <family val="2"/>
      </rPr>
      <t>pre</t>
    </r>
  </si>
  <si>
    <r>
      <t>Q</t>
    </r>
    <r>
      <rPr>
        <vertAlign val="subscript"/>
        <sz val="9"/>
        <rFont val="Arial"/>
        <family val="2"/>
      </rPr>
      <t>post</t>
    </r>
  </si>
  <si>
    <r>
      <t>Q</t>
    </r>
    <r>
      <rPr>
        <vertAlign val="subscript"/>
        <sz val="9"/>
        <rFont val="Arial"/>
        <family val="2"/>
      </rPr>
      <t>increase</t>
    </r>
  </si>
  <si>
    <t>Post-Construction</t>
  </si>
  <si>
    <t>Additional Impervious Area =</t>
  </si>
  <si>
    <t>SCS Method</t>
  </si>
  <si>
    <t>Acres</t>
  </si>
  <si>
    <t>Rainfall Distribution Coefficients</t>
  </si>
  <si>
    <t>Rainfall Type</t>
  </si>
  <si>
    <t>Ia/P</t>
  </si>
  <si>
    <t>C0</t>
  </si>
  <si>
    <t>C1</t>
  </si>
  <si>
    <t>C2</t>
  </si>
  <si>
    <t>I</t>
  </si>
  <si>
    <t>IA</t>
  </si>
  <si>
    <t>II</t>
  </si>
  <si>
    <t>III</t>
  </si>
  <si>
    <t>Type I</t>
  </si>
  <si>
    <t>Type IA</t>
  </si>
  <si>
    <t>Type II</t>
  </si>
  <si>
    <t>Type III</t>
  </si>
  <si>
    <r>
      <t>Unit Peak Discharge, q</t>
    </r>
    <r>
      <rPr>
        <u/>
        <vertAlign val="subscript"/>
        <sz val="9"/>
        <rFont val="Arial"/>
        <family val="2"/>
      </rPr>
      <t>u</t>
    </r>
  </si>
  <si>
    <t>Rainfall Distribution Type I</t>
  </si>
  <si>
    <t>Rainfall Distribution Type IA</t>
  </si>
  <si>
    <t>Rainfall Distribution Type II</t>
  </si>
  <si>
    <t>Rainfall Distribution Type III</t>
  </si>
  <si>
    <t>Rainfall Intensity Coefficients</t>
  </si>
  <si>
    <r>
      <t>Pre-Construction T</t>
    </r>
    <r>
      <rPr>
        <vertAlign val="subscript"/>
        <sz val="8"/>
        <rFont val="Courier New"/>
        <family val="3"/>
      </rPr>
      <t>c</t>
    </r>
    <r>
      <rPr>
        <sz val="8"/>
        <rFont val="Courier New"/>
        <family val="3"/>
      </rPr>
      <t>:</t>
    </r>
  </si>
  <si>
    <t>Min.</t>
  </si>
  <si>
    <t>Post-Construction Tc:</t>
  </si>
  <si>
    <t>Pre-</t>
  </si>
  <si>
    <t>Post-</t>
  </si>
  <si>
    <t>Been Verified</t>
  </si>
  <si>
    <t>City/County</t>
  </si>
  <si>
    <t>Abbeville, SC</t>
  </si>
  <si>
    <t>Aiken, SC</t>
  </si>
  <si>
    <t>Anderson, SC</t>
  </si>
  <si>
    <t>Berkeley, SC</t>
  </si>
  <si>
    <t>Camden, SC</t>
  </si>
  <si>
    <t>Charleston, SC</t>
  </si>
  <si>
    <t>Cheraw, SC</t>
  </si>
  <si>
    <t>Chesterfield, SC</t>
  </si>
  <si>
    <t>Columbia, SC</t>
  </si>
  <si>
    <t>Florence, SC</t>
  </si>
  <si>
    <t>Gaffney, SC</t>
  </si>
  <si>
    <t>Georgetown, SC</t>
  </si>
  <si>
    <t>Greenville, SC</t>
  </si>
  <si>
    <t>Greenwood, SC</t>
  </si>
  <si>
    <t>Hilton Head, SC</t>
  </si>
  <si>
    <t>Laurens, SC</t>
  </si>
  <si>
    <t>Lexington, SC</t>
  </si>
  <si>
    <t>McCormick, SC</t>
  </si>
  <si>
    <t>Myrtle Beach, SC</t>
  </si>
  <si>
    <t>Newberry, SC</t>
  </si>
  <si>
    <t>Orangeburg, SC</t>
  </si>
  <si>
    <t>Pickens, SC</t>
  </si>
  <si>
    <t>Rock Hill, SC</t>
  </si>
  <si>
    <t>St. George, SC</t>
  </si>
  <si>
    <t>Sumter, SC</t>
  </si>
  <si>
    <t>Union, SC</t>
  </si>
  <si>
    <t>Walhalla, SC</t>
  </si>
  <si>
    <t>County Name</t>
  </si>
  <si>
    <t>R Factors</t>
  </si>
  <si>
    <t>RETURN PERIOD 24 HOUR STORM EVENT (INCHES)</t>
  </si>
  <si>
    <t>Spartanburg, SC</t>
  </si>
  <si>
    <t>Allendale, SC</t>
  </si>
  <si>
    <t>Bamberg, SC</t>
  </si>
  <si>
    <t>Barnwell, SC</t>
  </si>
  <si>
    <t>Beaufort, SC</t>
  </si>
  <si>
    <t>Berkeley, SC (North)</t>
  </si>
  <si>
    <t>Berkeley, SC (South)</t>
  </si>
  <si>
    <t>Calhoun, SC</t>
  </si>
  <si>
    <t>Cherokee, SC</t>
  </si>
  <si>
    <t>Chester, SC</t>
  </si>
  <si>
    <t>Clarendon, SC</t>
  </si>
  <si>
    <t>Colleton, SC (North)</t>
  </si>
  <si>
    <t>Colleton, SC (South)</t>
  </si>
  <si>
    <t>Darlington, SC</t>
  </si>
  <si>
    <t>York, SC</t>
  </si>
  <si>
    <t>Williamsburg, SC</t>
  </si>
  <si>
    <t>Spartanburg, SC (SW)</t>
  </si>
  <si>
    <t>Spartanburg, SC (SE)</t>
  </si>
  <si>
    <t>Spartanburg, SC (NE)</t>
  </si>
  <si>
    <t>Spartanburg, SC (NW)</t>
  </si>
  <si>
    <t>Saluda, SC</t>
  </si>
  <si>
    <t>Richland, SC</t>
  </si>
  <si>
    <t>Pickens, SC (South)</t>
  </si>
  <si>
    <t>Pickens, SC (North)</t>
  </si>
  <si>
    <t>Orangeburg, SC (West)</t>
  </si>
  <si>
    <t>Orangeburg, SC (East)</t>
  </si>
  <si>
    <t>Oconee, SC (South)</t>
  </si>
  <si>
    <t>Oconee, SC (North)</t>
  </si>
  <si>
    <t>Marlboro, SC</t>
  </si>
  <si>
    <t>Marion, SC (South)</t>
  </si>
  <si>
    <t>Marion, SC (North)</t>
  </si>
  <si>
    <t>Lee, SC</t>
  </si>
  <si>
    <t>Lancaster, SC</t>
  </si>
  <si>
    <t>Kershaw, SC</t>
  </si>
  <si>
    <t>Jasper, SC</t>
  </si>
  <si>
    <t>Horry, SC (South)</t>
  </si>
  <si>
    <t>Horry, SC (North)</t>
  </si>
  <si>
    <t>Hampton, SC (South)</t>
  </si>
  <si>
    <t>Hampton, SC (North)</t>
  </si>
  <si>
    <t>Greenville, SC (South)</t>
  </si>
  <si>
    <t>Greenville, SC (North)</t>
  </si>
  <si>
    <t>Georgetown, SC (West)</t>
  </si>
  <si>
    <t>Georgetown, SC (East)</t>
  </si>
  <si>
    <t>Florence, SC (South)</t>
  </si>
  <si>
    <t>Florence, SC (North)</t>
  </si>
  <si>
    <t>Fairfield, SC</t>
  </si>
  <si>
    <t>Edgefield, SC</t>
  </si>
  <si>
    <t>Dorchester, SC (South)</t>
  </si>
  <si>
    <t>Dorchester, SC (North)</t>
  </si>
  <si>
    <t>Dillon, SC</t>
  </si>
  <si>
    <t>A</t>
  </si>
  <si>
    <t>B</t>
  </si>
  <si>
    <t>C</t>
  </si>
  <si>
    <t>D</t>
  </si>
  <si>
    <t>Curve Numbers for Hydrologic Soil Group</t>
  </si>
  <si>
    <t>Fully Developed Urban Areas (Vegetation Established)</t>
  </si>
  <si>
    <t>Open Space (Poor)</t>
  </si>
  <si>
    <t>Open Space (Fair)</t>
  </si>
  <si>
    <t>Open Space (Good)</t>
  </si>
  <si>
    <t>Grass Cover 50% to 75%</t>
  </si>
  <si>
    <t>Grass Cover &gt; 75%</t>
  </si>
  <si>
    <t>Impervious Area:</t>
  </si>
  <si>
    <t>IA (Paved-Open Ditches)</t>
  </si>
  <si>
    <t>IA (Gravel)</t>
  </si>
  <si>
    <t>IA (Dirt)</t>
  </si>
  <si>
    <t>Western Deser Urban Areas:</t>
  </si>
  <si>
    <t>Natural Desert Landscaping</t>
  </si>
  <si>
    <t>Artificial Desert Landscaping</t>
  </si>
  <si>
    <t>Urban District:</t>
  </si>
  <si>
    <t>Commercial and Business</t>
  </si>
  <si>
    <t>Average Impervious Area = 85%</t>
  </si>
  <si>
    <t>Industrial</t>
  </si>
  <si>
    <t>Average Impervious Area = 72%</t>
  </si>
  <si>
    <t>Residential Districts:</t>
  </si>
  <si>
    <t>Residential (1/8 Acre or less)</t>
  </si>
  <si>
    <t>Average Impervious Area = 65%</t>
  </si>
  <si>
    <t>Residential (1/4 Acre)</t>
  </si>
  <si>
    <t>Average Impervious Area = 38%</t>
  </si>
  <si>
    <t>Residential (1/3 Acre)</t>
  </si>
  <si>
    <t>Average Impervious Area = 30%</t>
  </si>
  <si>
    <t>Residential (1/2 Acre)</t>
  </si>
  <si>
    <t>Average Impervious Area = 25%</t>
  </si>
  <si>
    <t>Residential (1 Acre)</t>
  </si>
  <si>
    <t>Average Impervious Area = 20%</t>
  </si>
  <si>
    <t>Residential (2 Acres)</t>
  </si>
  <si>
    <t>Average Impervious Area = 12%</t>
  </si>
  <si>
    <t>Developing Urban Areas:</t>
  </si>
  <si>
    <t>Newly Graded Areas</t>
  </si>
  <si>
    <t>Pervious Areas Only, No Vegetation</t>
  </si>
  <si>
    <t>Grass Cover &lt; 50%</t>
  </si>
  <si>
    <t>IA (Paved-Curbs and Storm Sewers)</t>
  </si>
  <si>
    <t xml:space="preserve">Pervious Areas Only </t>
  </si>
  <si>
    <t>Impervious Weed Barrier, Desert Shrub with 1- to 2-inch Sand or Gravel Mulch and Basin Borders</t>
  </si>
  <si>
    <t>Cultivated Agricultural Lands:</t>
  </si>
  <si>
    <t>Fallow (Bare Soil)</t>
  </si>
  <si>
    <t>Row Crops (SR + CR) - Poor</t>
  </si>
  <si>
    <t>Row Crops (SR + CR) - Good</t>
  </si>
  <si>
    <t>Small Grain (C + CR) - Poor</t>
  </si>
  <si>
    <t>Small Grain (C + CR) - Good</t>
  </si>
  <si>
    <t>Small Grain (C&amp;T - Poor)</t>
  </si>
  <si>
    <t>Small Grain (C&amp;T - Good)</t>
  </si>
  <si>
    <t>Small Grain (C - Good)</t>
  </si>
  <si>
    <t>Small Grain (C - Poor)</t>
  </si>
  <si>
    <t>Small Grain (SR + CR) - Good</t>
  </si>
  <si>
    <t>Small Grain (SR + CR) - Poor</t>
  </si>
  <si>
    <t>Small Grain (SR - Good)</t>
  </si>
  <si>
    <t>Small Grain (SR - Poor)</t>
  </si>
  <si>
    <t>Row Crops (C&amp;T + CR) - Good</t>
  </si>
  <si>
    <t>Row Crops (C&amp;T + CR) - Poor</t>
  </si>
  <si>
    <t>Row Crops (Contoured &amp; Terraced (C&amp;T) - Good)</t>
  </si>
  <si>
    <t>Row Crops (Contoured &amp; Terraced (C&amp;T) - Poor)</t>
  </si>
  <si>
    <t>Row Crops (C + CR) - Good</t>
  </si>
  <si>
    <t>Row Crops (C + CR) - Poor</t>
  </si>
  <si>
    <t>Row Crops (Straight Row (SR) - Good)</t>
  </si>
  <si>
    <t>Row Crops (Straight Row (SR) - Poor)</t>
  </si>
  <si>
    <t>Fallow (Crop Residue (CR) - Good)</t>
  </si>
  <si>
    <t>Fallow (Crop Residue (CR) - Poor)</t>
  </si>
  <si>
    <t>Row Crops (Contoured (C) - Poor)</t>
  </si>
  <si>
    <t>Row Crops (Contoured (C) - Good)</t>
  </si>
  <si>
    <t>Small Grain (C&amp;T + CR) - Poor</t>
  </si>
  <si>
    <t>Small Grain (C&amp;T + CR) - Good</t>
  </si>
  <si>
    <t>Closed Seeded (SR - Poor)</t>
  </si>
  <si>
    <t>Closed Seeded (SR - Good)</t>
  </si>
  <si>
    <t>Closed Seeded (C - Poor)</t>
  </si>
  <si>
    <t>Closed Seeded (C - Good)</t>
  </si>
  <si>
    <t>Closed Seeded (C&amp;T - Poor)</t>
  </si>
  <si>
    <t>Closed Seeded (C&amp;T - Good)</t>
  </si>
  <si>
    <t>Agricultural Lands:</t>
  </si>
  <si>
    <t>Continuous Forage For Grazing (&lt;50% Ground Cover or Heavily Grazed with No Mulch)</t>
  </si>
  <si>
    <t>Continuous Forage For Grazing (50% to 75% Cover and not Heavily Grazed)</t>
  </si>
  <si>
    <t>Continuous Forage For Grazing (&gt;75% Ground Cover and Lightly or Only Occasionally Grazed</t>
  </si>
  <si>
    <t>Meadow</t>
  </si>
  <si>
    <t>Continuous Grass, Protected from Grazing and Generally Mowed for Hay</t>
  </si>
  <si>
    <t>Brush (Poor)</t>
  </si>
  <si>
    <t>Brush (Fair)</t>
  </si>
  <si>
    <t>Brush (Good)</t>
  </si>
  <si>
    <t>Pature, Grassland, Or Range (Good)</t>
  </si>
  <si>
    <t>Pature, Grassland, Or Range (Fair)</t>
  </si>
  <si>
    <t>Pature, Grassland, Or Range (Poor)</t>
  </si>
  <si>
    <t>Woods (Poor)</t>
  </si>
  <si>
    <t>Woods (Fair)</t>
  </si>
  <si>
    <t>Woods (Good)</t>
  </si>
  <si>
    <t>Brush-Weed-Grass Mixture with Brush the Major Element (&lt;50% Ground Cover)</t>
  </si>
  <si>
    <t>Brush-Weed-Grass Mixture with Brush the Major Element (50% to 75% Ground Cover)</t>
  </si>
  <si>
    <t>Brush-Weed-Grass Mixture with Brush the Major Element (&gt;75% Ground Cover)</t>
  </si>
  <si>
    <t>Woods/Grass Combination (Poor)</t>
  </si>
  <si>
    <t>Woods/Grass Combination (Fair)</t>
  </si>
  <si>
    <t>Woods/Grass Combination (Good)</t>
  </si>
  <si>
    <t>Orchard or Tree Farm (50% Woods &amp; 50% Pasture)</t>
  </si>
  <si>
    <t>Woods are grazed but not burned, and some forest litter covers the soil.</t>
  </si>
  <si>
    <t>Woods are protected from grazing, and litter and brush adequately cover the soil.</t>
  </si>
  <si>
    <t>Forest litter, small trees, and brush are destroyed by heavy grazing or regular burning.</t>
  </si>
  <si>
    <t>Farmsteads</t>
  </si>
  <si>
    <t>Buildings, Lanes, Driveways and Surrounding Lots</t>
  </si>
  <si>
    <t>Arid and Semi-Arid Rangelands:</t>
  </si>
  <si>
    <t>Herbaceous (Poor)</t>
  </si>
  <si>
    <t>Herbaceous (Fair)</t>
  </si>
  <si>
    <t>Herbaceous (Good)</t>
  </si>
  <si>
    <t>Good: Factors encourage average and better than average infiltration and tend to decrease runoff.</t>
  </si>
  <si>
    <t>Poor: Factors impair infiltration and tend to increase runoff.</t>
  </si>
  <si>
    <t>Mixture of grass, weeds, and low-growing brush, with brush the minor element. (&lt; 30% Ground Cover)</t>
  </si>
  <si>
    <t>Mixture of grass, weeds, and low-growing brush, with brush the minor element. (30% to 70% Ground Cover)</t>
  </si>
  <si>
    <t>Mixture of grass, weeds, and low-growing brush, with brush the minor element. (&gt; 70% Ground Cover)</t>
  </si>
  <si>
    <t>Oak-Aspen (Poor)</t>
  </si>
  <si>
    <t>Oak-Aspen (Fair)</t>
  </si>
  <si>
    <t>Oak-Aspen (Good)</t>
  </si>
  <si>
    <t>Mountain brush mixture of oak brush, aspen, mountain mahogany, bitter brush, maple, and other brush. (&lt; 30% Ground Cover)</t>
  </si>
  <si>
    <t>Mountain brush mixture of oak brush, aspen, mountain mahogany, bitter brush, maple, and other brush. (30% to 70% Ground Cover)</t>
  </si>
  <si>
    <t>Mountain brush mixture of oak brush, aspen, mountain mahogany, bitter brush, maple, and other brush. (&gt; 70% Ground Cover)</t>
  </si>
  <si>
    <t>Pinyon-Juniper (Poor)</t>
  </si>
  <si>
    <t>Pinyon-Juniper (Fair)</t>
  </si>
  <si>
    <t>Pinyon-Juniper (Good)</t>
  </si>
  <si>
    <t>Pinyon, Juniper, or both; grass understory. (&lt; 30% Ground Cover)</t>
  </si>
  <si>
    <t>Pinyon, Juniper, or both; grass understory. (30% to 70% Ground Cover)</t>
  </si>
  <si>
    <t>Pinyon, Juniper, or both; grass understory. (&gt; 70% Ground Cover)</t>
  </si>
  <si>
    <t>Sagebrush with Grass Understory (Poor)</t>
  </si>
  <si>
    <t>Sagebrush with Grass Understory (Fair)</t>
  </si>
  <si>
    <t>Sagebrush with Grass Understory (Good)</t>
  </si>
  <si>
    <t>(&lt; 30% Ground Cover)</t>
  </si>
  <si>
    <t>(30% to 70% Ground Cover)</t>
  </si>
  <si>
    <t>(&gt; 70% Ground Cover)</t>
  </si>
  <si>
    <t>Desert Shrub (Poor)</t>
  </si>
  <si>
    <t>Desert Shrub (Fair)</t>
  </si>
  <si>
    <t>Desert Shrub (Good)</t>
  </si>
  <si>
    <t>Major plants include saltbush, greasewood, creosotebush, blackbrush, bursage, palo verde, mesquite, and cactus. (&lt; 30% Ground Cover)</t>
  </si>
  <si>
    <t>Major plants include saltbush, greasewood, creosotebush, blackbrush, bursage, palo verde, mesquite, and cactus. (30% to 70% Ground Cover)</t>
  </si>
  <si>
    <t>Major plants include saltbush, greasewood, creosotebush, blackbrush, bursage, palo verde, mesquite, and cactus. (&gt; 70% Ground Cover)</t>
  </si>
  <si>
    <t>N/A</t>
  </si>
  <si>
    <t>Hydraulic Soil Group:</t>
  </si>
  <si>
    <t>Description of Covers: (Does Not Print)</t>
  </si>
  <si>
    <t>Impervious Area:Paved Parking Lots, Roofs, Driveways, etc.</t>
  </si>
  <si>
    <t xml:space="preserve">Impervious Area  </t>
  </si>
  <si>
    <t>Impervious Area</t>
  </si>
  <si>
    <t>Bare Soil</t>
  </si>
  <si>
    <t>SCDHEC Rainfall for :</t>
  </si>
  <si>
    <t>RUNOFF FACTORS FOR RATIONAL METHOD</t>
  </si>
  <si>
    <t>Flat</t>
  </si>
  <si>
    <t>Rolling</t>
  </si>
  <si>
    <t>Hilly</t>
  </si>
  <si>
    <t>Pavements &amp; Roofs</t>
  </si>
  <si>
    <t>Earth Shoulders</t>
  </si>
  <si>
    <t>Drives &amp; Walks</t>
  </si>
  <si>
    <t>Gravel Pavements</t>
  </si>
  <si>
    <t>City Business Areas</t>
  </si>
  <si>
    <t>Unpaved Road, Sandy Soils</t>
  </si>
  <si>
    <t>Unpaved Road, Silty Soils</t>
  </si>
  <si>
    <t>Unpaved Road, Clay Soils</t>
  </si>
  <si>
    <t>Apartment Dwelling Areas</t>
  </si>
  <si>
    <t>Suburban, Normal Residential</t>
  </si>
  <si>
    <t>Dense Residential Sections</t>
  </si>
  <si>
    <t>Lawns, Sandy Soils</t>
  </si>
  <si>
    <t>Lawns, Heavy Soils</t>
  </si>
  <si>
    <t>Grass Shoulders</t>
  </si>
  <si>
    <t>Side Slopes, Earth</t>
  </si>
  <si>
    <t>Side Slopes, Turf</t>
  </si>
  <si>
    <t>Median Areas, Turf</t>
  </si>
  <si>
    <t>Cultivated Land, Clay &amp; Loam</t>
  </si>
  <si>
    <t>Cultivated Land, Sand &amp; Gravel</t>
  </si>
  <si>
    <t>Industrial Areas, Light</t>
  </si>
  <si>
    <t>Industrial Areas, Heavy</t>
  </si>
  <si>
    <t>Parks &amp; Cemetaries</t>
  </si>
  <si>
    <t>Playgrounds</t>
  </si>
  <si>
    <t>Woodland &amp; Forest</t>
  </si>
  <si>
    <t>Meadows &amp; Pasture Land</t>
  </si>
  <si>
    <t>Unimproved Areas</t>
  </si>
  <si>
    <t>Rail Yards</t>
  </si>
  <si>
    <t>Expressways &amp; Freeways</t>
  </si>
  <si>
    <t>Expressways &amp; Freeways: The designer can also calculate weighted "C" values for expressways and freeways using the values in the table for pavement, side slopes, and planted medians.</t>
  </si>
  <si>
    <r>
      <t xml:space="preserve">Table 4: Runoff Factors for Rational Method                                                      (Page 54, </t>
    </r>
    <r>
      <rPr>
        <i/>
        <sz val="10"/>
        <rFont val="Arial"/>
        <family val="2"/>
      </rPr>
      <t>Requirements for Hydraulic Design Studies, 2009)</t>
    </r>
  </si>
  <si>
    <t>Topography:</t>
  </si>
  <si>
    <t>(0% - 2%)</t>
  </si>
  <si>
    <t>(2% - 10%)</t>
  </si>
  <si>
    <t>(Over 10%)</t>
  </si>
  <si>
    <t>Flat (0% - 2%)</t>
  </si>
  <si>
    <t>Rolling (2% - 10%)</t>
  </si>
  <si>
    <t>Hilly (Over 10%)</t>
  </si>
  <si>
    <t>Pavement</t>
  </si>
  <si>
    <t>Residential</t>
  </si>
  <si>
    <t>Open/ROW</t>
  </si>
  <si>
    <t>CITY/COUNTY:</t>
  </si>
  <si>
    <t>Does Pre-construction Tc = Post-Construction Tc?</t>
  </si>
  <si>
    <t>Yes</t>
  </si>
  <si>
    <t>No</t>
  </si>
  <si>
    <t>(Does Not Print)</t>
  </si>
  <si>
    <t>Always make a new .XLS file for each individual outfall.</t>
  </si>
  <si>
    <t>I-20 Widening</t>
  </si>
  <si>
    <t>Runoff from the existing watershed sheet flows to a undeveloped area along U.S. Route 20 and continues overland and flows across the interstate to an outfall ditch.</t>
  </si>
  <si>
    <t>Lexington County I-20 Widening - Outfall #16</t>
  </si>
  <si>
    <t>The widening will take place from S.C. Route 378 to Longs Pond Road which is approximately 14 miles. The existing watersheds along the interstate are primarily developed areas along with large wooded areas. The total drainage area to Outfall #16 is approximately 6 acres. The existing watershed includes, grassed areas, paved areas and large wooded areas adjacent to U.S. Route 20. The soils in the watershed are classified as Hydrologic Soil Group C so as to be conservative in design.</t>
  </si>
  <si>
    <t xml:space="preserve">The proposed construction within the watershed includes pavement addition and drainage reconstruction. The proposed construction results in an increase in impervious area as a result of the addition of traffic lanes on I-20 and drains to Outfall #16. </t>
  </si>
  <si>
    <t>The increased flows are a result of the proposed addition of pavement and will drain to Outfall #16.  However the drainage area remains approximately the same.</t>
  </si>
  <si>
    <t>8/26/2015</t>
  </si>
  <si>
    <t>Sta. 250+00</t>
  </si>
  <si>
    <t>Outfall #3 [Rt.] Sta.250+00 (Ginny Lane)</t>
  </si>
  <si>
    <t>Outfall ditch that runs behind the Wellesley subdivision</t>
  </si>
  <si>
    <t xml:space="preserve">The proposed construction within the watershed includes pavement addition. The proposed construction results in an increase in impervious area as a result of the addition of traffic lanes on I-20 and drains to Outfall #3. </t>
  </si>
  <si>
    <t xml:space="preserve">The additional 0.21 cfs runoff for the 10-year design storm will be collected by an outfall ditch that runs behind the Wellesley subdivision.  The additional pavement will have no significant adverse effect downstream of the outfall.  No additional detention is necessary in this area.  </t>
  </si>
  <si>
    <t>Runoff from the existing watershed sheet flows overland to a cross-line drainage system under I-20 and discharges into an outfall ditch behind the Wellesley subdivision.</t>
  </si>
  <si>
    <t xml:space="preserve">The widening will take place from U.S. Route 378 to Longs Pond Road which is approximately 14 miles. The existing watersheds along the interstate are primarily developed areas along with large wooded areas. The total drainage area to Outfall #3 is approximately 6 acres. The existing watershed includes, grassed areas, paved areas and large wooded areas adjacent to I-20.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</si>
</sst>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
    <numFmt numFmtId="167" formatCode="0.00000"/>
    <numFmt numFmtId="168" formatCode="0.0%"/>
  </numFmts>
  <fonts count="24" x14ac:knownFonts="1">
    <font>
      <sz val="10"/>
      <name val="Arial"/>
    </font>
    <font>
      <sz val="10"/>
      <name val="Arial"/>
      <family val="2"/>
    </font>
    <font>
      <b/>
      <sz val="10"/>
      <name val="Arial"/>
      <family val="2"/>
    </font>
    <font>
      <b/>
      <u/>
      <sz val="10"/>
      <name val="Arial"/>
      <family val="2"/>
    </font>
    <font>
      <sz val="10"/>
      <name val="Arial"/>
      <family val="2"/>
    </font>
    <font>
      <u/>
      <sz val="10"/>
      <name val="Arial"/>
      <family val="2"/>
    </font>
    <font>
      <vertAlign val="subscript"/>
      <sz val="10"/>
      <name val="Arial"/>
      <family val="2"/>
    </font>
    <font>
      <sz val="8"/>
      <name val="Courier New"/>
      <family val="3"/>
    </font>
    <font>
      <sz val="8"/>
      <name val="Arial"/>
      <family val="2"/>
    </font>
    <font>
      <sz val="9"/>
      <name val="Arial"/>
      <family val="2"/>
    </font>
    <font>
      <b/>
      <sz val="9"/>
      <name val="Arial"/>
      <family val="2"/>
    </font>
    <font>
      <b/>
      <u/>
      <sz val="9"/>
      <name val="Arial"/>
      <family val="2"/>
    </font>
    <font>
      <vertAlign val="superscript"/>
      <sz val="9"/>
      <name val="Arial"/>
      <family val="2"/>
    </font>
    <font>
      <b/>
      <i/>
      <sz val="10"/>
      <name val="Arial"/>
      <family val="2"/>
    </font>
    <font>
      <b/>
      <i/>
      <sz val="9"/>
      <name val="Arial"/>
      <family val="2"/>
    </font>
    <font>
      <b/>
      <sz val="8"/>
      <name val="Courier New"/>
      <family val="3"/>
    </font>
    <font>
      <u/>
      <sz val="8"/>
      <name val="Courier New"/>
      <family val="3"/>
    </font>
    <font>
      <sz val="8"/>
      <color indexed="9"/>
      <name val="Courier New"/>
      <family val="3"/>
    </font>
    <font>
      <u/>
      <sz val="9"/>
      <name val="Arial"/>
      <family val="2"/>
    </font>
    <font>
      <u/>
      <vertAlign val="subscript"/>
      <sz val="9"/>
      <name val="Arial"/>
      <family val="2"/>
    </font>
    <font>
      <vertAlign val="subscript"/>
      <sz val="9"/>
      <name val="Arial"/>
      <family val="2"/>
    </font>
    <font>
      <vertAlign val="subscript"/>
      <sz val="8"/>
      <name val="Courier New"/>
      <family val="3"/>
    </font>
    <font>
      <i/>
      <sz val="10"/>
      <name val="Arial"/>
      <family val="2"/>
    </font>
    <font>
      <sz val="8"/>
      <color theme="0"/>
      <name val="Courier New"/>
      <family val="3"/>
    </font>
  </fonts>
  <fills count="8">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s>
  <borders count="30">
    <border>
      <left/>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9" fontId="1" fillId="0" borderId="0" applyFont="0" applyFill="0" applyBorder="0" applyAlignment="0" applyProtection="0"/>
    <xf numFmtId="9" fontId="4" fillId="0" borderId="0" applyFont="0" applyFill="0" applyBorder="0" applyAlignment="0" applyProtection="0"/>
  </cellStyleXfs>
  <cellXfs count="216">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center"/>
    </xf>
    <xf numFmtId="2" fontId="4" fillId="0" borderId="0" xfId="0" applyNumberFormat="1" applyFont="1"/>
    <xf numFmtId="2" fontId="4" fillId="0" borderId="0" xfId="0" applyNumberFormat="1" applyFont="1" applyAlignment="1">
      <alignment horizontal="center"/>
    </xf>
    <xf numFmtId="2" fontId="0" fillId="0" borderId="0" xfId="0" applyNumberFormat="1" applyAlignment="1">
      <alignment horizontal="center"/>
    </xf>
    <xf numFmtId="0" fontId="4" fillId="0" borderId="0" xfId="0" applyFont="1" applyFill="1" applyBorder="1"/>
    <xf numFmtId="165" fontId="7" fillId="0" borderId="0" xfId="0" applyNumberFormat="1" applyFont="1" applyBorder="1" applyAlignment="1">
      <alignment horizontal="center"/>
    </xf>
    <xf numFmtId="0" fontId="8" fillId="0" borderId="0" xfId="0" applyFont="1"/>
    <xf numFmtId="0" fontId="9" fillId="0" borderId="0" xfId="0" applyFont="1"/>
    <xf numFmtId="165" fontId="9" fillId="0" borderId="0" xfId="0" applyNumberFormat="1" applyFont="1"/>
    <xf numFmtId="164" fontId="4" fillId="0" borderId="0" xfId="0" applyNumberFormat="1" applyFont="1" applyFill="1" applyBorder="1"/>
    <xf numFmtId="2" fontId="4" fillId="0" borderId="0" xfId="0" applyNumberFormat="1" applyFont="1" applyFill="1" applyBorder="1"/>
    <xf numFmtId="166" fontId="4" fillId="0" borderId="0" xfId="0" applyNumberFormat="1" applyFont="1" applyFill="1" applyBorder="1"/>
    <xf numFmtId="165" fontId="4" fillId="0" borderId="0" xfId="0" applyNumberFormat="1" applyFont="1" applyFill="1"/>
    <xf numFmtId="165" fontId="4" fillId="0" borderId="0" xfId="0" applyNumberFormat="1" applyFont="1"/>
    <xf numFmtId="165" fontId="10" fillId="0" borderId="1" xfId="0" applyNumberFormat="1" applyFont="1" applyBorder="1" applyAlignment="1">
      <alignment horizontal="left"/>
    </xf>
    <xf numFmtId="0" fontId="11" fillId="0" borderId="0" xfId="0" applyFont="1"/>
    <xf numFmtId="0" fontId="9" fillId="0" borderId="0" xfId="0" applyFont="1" applyAlignment="1">
      <alignment horizontal="center"/>
    </xf>
    <xf numFmtId="166" fontId="4" fillId="0" borderId="0" xfId="0" applyNumberFormat="1" applyFont="1"/>
    <xf numFmtId="165" fontId="2" fillId="0" borderId="1" xfId="0" applyNumberFormat="1" applyFont="1" applyBorder="1" applyAlignment="1">
      <alignment horizontal="left"/>
    </xf>
    <xf numFmtId="165" fontId="11" fillId="0" borderId="0" xfId="0" applyNumberFormat="1" applyFont="1"/>
    <xf numFmtId="165" fontId="8" fillId="0" borderId="0" xfId="0" applyNumberFormat="1" applyFont="1"/>
    <xf numFmtId="164" fontId="13" fillId="0" borderId="0" xfId="0" applyNumberFormat="1" applyFont="1"/>
    <xf numFmtId="164" fontId="14" fillId="0" borderId="0" xfId="0" applyNumberFormat="1" applyFont="1"/>
    <xf numFmtId="165" fontId="2" fillId="0" borderId="0" xfId="0" applyNumberFormat="1" applyFont="1"/>
    <xf numFmtId="0" fontId="7" fillId="0" borderId="2" xfId="0" applyFont="1" applyBorder="1"/>
    <xf numFmtId="0" fontId="7" fillId="0" borderId="0" xfId="0" applyFont="1" applyBorder="1"/>
    <xf numFmtId="0" fontId="7" fillId="0" borderId="0" xfId="0" applyFont="1" applyBorder="1" applyAlignment="1">
      <alignment horizontal="center"/>
    </xf>
    <xf numFmtId="0" fontId="7" fillId="0" borderId="2" xfId="0" applyFont="1" applyBorder="1" applyAlignment="1">
      <alignment horizontal="center"/>
    </xf>
    <xf numFmtId="0" fontId="16" fillId="0" borderId="2" xfId="0" applyFont="1" applyBorder="1" applyAlignment="1">
      <alignment horizontal="center"/>
    </xf>
    <xf numFmtId="0" fontId="16" fillId="0" borderId="0" xfId="0" applyFont="1" applyBorder="1" applyAlignment="1">
      <alignment horizontal="center"/>
    </xf>
    <xf numFmtId="167" fontId="7" fillId="0" borderId="0" xfId="0" applyNumberFormat="1" applyFont="1" applyBorder="1" applyAlignment="1">
      <alignment horizontal="center"/>
    </xf>
    <xf numFmtId="165" fontId="17" fillId="2" borderId="0" xfId="0" applyNumberFormat="1" applyFont="1" applyFill="1" applyBorder="1" applyAlignment="1">
      <alignment horizontal="center"/>
    </xf>
    <xf numFmtId="165" fontId="17" fillId="0" borderId="0" xfId="0" applyNumberFormat="1" applyFont="1" applyFill="1" applyBorder="1" applyAlignment="1">
      <alignment horizontal="center"/>
    </xf>
    <xf numFmtId="0" fontId="0" fillId="0" borderId="0" xfId="0"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167" fontId="0" fillId="0" borderId="0" xfId="0" applyNumberFormat="1" applyAlignment="1">
      <alignment horizontal="center"/>
    </xf>
    <xf numFmtId="2" fontId="0" fillId="0" borderId="0" xfId="0" applyNumberFormat="1"/>
    <xf numFmtId="0" fontId="2" fillId="0" borderId="0" xfId="0" applyFont="1" applyProtection="1"/>
    <xf numFmtId="0" fontId="4" fillId="0" borderId="0" xfId="0" applyFont="1" applyProtection="1"/>
    <xf numFmtId="0" fontId="3" fillId="0" borderId="0" xfId="0" applyFont="1" applyProtection="1"/>
    <xf numFmtId="0" fontId="2" fillId="0" borderId="0" xfId="0" applyFont="1" applyFill="1" applyProtection="1"/>
    <xf numFmtId="0" fontId="4" fillId="0" borderId="0" xfId="0" applyFont="1" applyFill="1" applyProtection="1"/>
    <xf numFmtId="0" fontId="3" fillId="0" borderId="0" xfId="0" applyFont="1" applyFill="1" applyProtection="1"/>
    <xf numFmtId="2" fontId="4" fillId="0" borderId="0" xfId="0" applyNumberFormat="1" applyFont="1" applyFill="1" applyAlignment="1" applyProtection="1">
      <alignment horizontal="center"/>
    </xf>
    <xf numFmtId="0" fontId="5" fillId="0" borderId="0" xfId="0" applyFont="1" applyFill="1" applyProtection="1"/>
    <xf numFmtId="0" fontId="4" fillId="0" borderId="0" xfId="0" applyFont="1" applyFill="1" applyAlignment="1" applyProtection="1">
      <alignment horizontal="center"/>
    </xf>
    <xf numFmtId="0" fontId="9" fillId="0" borderId="0" xfId="0" applyFont="1" applyFill="1" applyAlignment="1" applyProtection="1">
      <alignment horizontal="center"/>
    </xf>
    <xf numFmtId="2" fontId="4" fillId="0" borderId="0" xfId="0" applyNumberFormat="1" applyFont="1" applyFill="1" applyProtection="1"/>
    <xf numFmtId="165" fontId="4" fillId="0" borderId="0" xfId="0" applyNumberFormat="1" applyFont="1" applyFill="1" applyProtection="1"/>
    <xf numFmtId="0" fontId="4" fillId="0" borderId="0" xfId="0" applyFont="1" applyFill="1" applyAlignment="1" applyProtection="1">
      <alignment horizontal="left"/>
    </xf>
    <xf numFmtId="0" fontId="4" fillId="0" borderId="0" xfId="0" applyFont="1" applyFill="1" applyBorder="1" applyProtection="1"/>
    <xf numFmtId="165" fontId="4" fillId="0" borderId="0" xfId="0" applyNumberFormat="1" applyFont="1" applyBorder="1" applyAlignment="1" applyProtection="1">
      <alignment horizontal="center"/>
    </xf>
    <xf numFmtId="165" fontId="7" fillId="0" borderId="0" xfId="0" applyNumberFormat="1" applyFont="1" applyBorder="1" applyAlignment="1" applyProtection="1">
      <alignment horizontal="center"/>
    </xf>
    <xf numFmtId="0" fontId="4" fillId="0" borderId="0" xfId="0" applyFont="1" applyFill="1" applyAlignment="1" applyProtection="1">
      <alignment horizontal="center" wrapText="1"/>
    </xf>
    <xf numFmtId="164" fontId="4" fillId="0" borderId="0" xfId="0" applyNumberFormat="1" applyFont="1" applyFill="1" applyProtection="1"/>
    <xf numFmtId="164" fontId="4" fillId="0" borderId="0" xfId="0" applyNumberFormat="1" applyFont="1" applyProtection="1"/>
    <xf numFmtId="0" fontId="5" fillId="0" borderId="0" xfId="0" applyFont="1" applyProtection="1"/>
    <xf numFmtId="0" fontId="4" fillId="0" borderId="0" xfId="0" applyFont="1" applyAlignment="1" applyProtection="1">
      <alignment horizontal="center"/>
    </xf>
    <xf numFmtId="165" fontId="4" fillId="0" borderId="0" xfId="0" applyNumberFormat="1" applyFont="1" applyProtection="1"/>
    <xf numFmtId="0" fontId="4" fillId="0" borderId="0" xfId="0" applyFont="1" applyAlignment="1" applyProtection="1">
      <alignment wrapText="1"/>
    </xf>
    <xf numFmtId="0" fontId="4" fillId="0" borderId="0" xfId="0" applyFont="1" applyAlignment="1" applyProtection="1">
      <alignment horizontal="left"/>
    </xf>
    <xf numFmtId="2" fontId="0" fillId="0" borderId="0" xfId="0" applyNumberFormat="1" applyFill="1" applyAlignment="1" applyProtection="1">
      <alignment horizontal="center"/>
    </xf>
    <xf numFmtId="0" fontId="4" fillId="0" borderId="0" xfId="0" applyFont="1" applyAlignment="1" applyProtection="1">
      <alignment horizontal="center" wrapText="1"/>
    </xf>
    <xf numFmtId="2" fontId="4" fillId="0" borderId="0" xfId="0" applyNumberFormat="1" applyFont="1" applyAlignment="1" applyProtection="1">
      <alignment horizontal="center"/>
    </xf>
    <xf numFmtId="2" fontId="0" fillId="0" borderId="0" xfId="0" applyNumberFormat="1" applyAlignment="1" applyProtection="1">
      <alignment horizontal="center"/>
    </xf>
    <xf numFmtId="164" fontId="4" fillId="0" borderId="0" xfId="0" applyNumberFormat="1" applyFont="1" applyAlignment="1" applyProtection="1">
      <alignment horizontal="center"/>
    </xf>
    <xf numFmtId="10" fontId="4" fillId="0" borderId="0" xfId="0" applyNumberFormat="1" applyFont="1" applyFill="1" applyAlignment="1" applyProtection="1">
      <alignment horizontal="center"/>
    </xf>
    <xf numFmtId="164" fontId="4" fillId="0" borderId="0" xfId="0" applyNumberFormat="1" applyFont="1" applyFill="1" applyAlignment="1" applyProtection="1">
      <alignment horizontal="center"/>
    </xf>
    <xf numFmtId="0" fontId="4" fillId="0" borderId="0" xfId="0" applyFont="1" applyFill="1" applyAlignment="1" applyProtection="1">
      <alignment wrapText="1"/>
    </xf>
    <xf numFmtId="0" fontId="4" fillId="0" borderId="0" xfId="0" applyFont="1" applyFill="1" applyAlignment="1" applyProtection="1"/>
    <xf numFmtId="0" fontId="9" fillId="0" borderId="0" xfId="0" applyFont="1" applyProtection="1"/>
    <xf numFmtId="0" fontId="11" fillId="0" borderId="0" xfId="0" applyFont="1" applyProtection="1"/>
    <xf numFmtId="0" fontId="9" fillId="0" borderId="0" xfId="0" applyFont="1" applyFill="1" applyProtection="1"/>
    <xf numFmtId="0" fontId="11" fillId="0" borderId="0" xfId="0" applyFont="1" applyFill="1" applyProtection="1"/>
    <xf numFmtId="2" fontId="9" fillId="0" borderId="0" xfId="0" applyNumberFormat="1" applyFont="1" applyFill="1" applyAlignment="1" applyProtection="1">
      <alignment horizontal="center"/>
    </xf>
    <xf numFmtId="0" fontId="18" fillId="0" borderId="0" xfId="0" applyFont="1" applyFill="1" applyProtection="1"/>
    <xf numFmtId="2" fontId="9" fillId="0" borderId="0" xfId="0" applyNumberFormat="1" applyFont="1" applyFill="1" applyProtection="1"/>
    <xf numFmtId="164" fontId="9" fillId="0" borderId="0" xfId="0" applyNumberFormat="1" applyFont="1" applyProtection="1"/>
    <xf numFmtId="0" fontId="18" fillId="0" borderId="0" xfId="0" applyFont="1" applyProtection="1"/>
    <xf numFmtId="165" fontId="9" fillId="0" borderId="0" xfId="0" applyNumberFormat="1" applyFont="1" applyProtection="1"/>
    <xf numFmtId="0" fontId="9" fillId="0" borderId="0" xfId="0" applyFont="1" applyAlignment="1" applyProtection="1">
      <alignment horizontal="left"/>
    </xf>
    <xf numFmtId="2" fontId="9" fillId="0" borderId="0" xfId="0" applyNumberFormat="1" applyFont="1" applyAlignment="1" applyProtection="1">
      <alignment horizontal="center"/>
    </xf>
    <xf numFmtId="2" fontId="9" fillId="0" borderId="0" xfId="0" applyNumberFormat="1" applyFont="1" applyProtection="1"/>
    <xf numFmtId="0" fontId="10" fillId="0" borderId="0" xfId="0" applyFont="1" applyProtection="1"/>
    <xf numFmtId="0" fontId="9" fillId="0" borderId="0" xfId="0" applyFont="1" applyAlignment="1" applyProtection="1">
      <alignment horizontal="center" wrapText="1"/>
    </xf>
    <xf numFmtId="0" fontId="9" fillId="0" borderId="0" xfId="0" applyFont="1" applyAlignment="1" applyProtection="1">
      <alignment horizontal="center"/>
    </xf>
    <xf numFmtId="164" fontId="9" fillId="0" borderId="0" xfId="0" applyNumberFormat="1" applyFont="1" applyAlignment="1" applyProtection="1">
      <alignment horizontal="center"/>
    </xf>
    <xf numFmtId="0" fontId="9" fillId="0" borderId="0" xfId="0" applyFont="1" applyAlignment="1" applyProtection="1">
      <alignment wrapText="1"/>
    </xf>
    <xf numFmtId="0" fontId="9" fillId="0" borderId="0" xfId="1" applyFont="1" applyAlignment="1" applyProtection="1">
      <alignment horizontal="center"/>
    </xf>
    <xf numFmtId="167" fontId="0" fillId="0" borderId="0" xfId="0" applyNumberFormat="1" applyAlignment="1" applyProtection="1">
      <alignment horizontal="center"/>
    </xf>
    <xf numFmtId="167" fontId="9" fillId="0" borderId="0" xfId="1" applyNumberFormat="1" applyFont="1" applyProtection="1"/>
    <xf numFmtId="168" fontId="9" fillId="0" borderId="0" xfId="2" applyNumberFormat="1" applyFont="1" applyAlignment="1" applyProtection="1">
      <alignment horizontal="left"/>
    </xf>
    <xf numFmtId="0" fontId="9" fillId="0" borderId="0" xfId="0" applyFont="1" applyAlignment="1" applyProtection="1">
      <alignment horizontal="right"/>
    </xf>
    <xf numFmtId="0" fontId="9" fillId="0" borderId="0" xfId="0" applyFont="1" applyAlignment="1" applyProtection="1"/>
    <xf numFmtId="165" fontId="9" fillId="0" borderId="0" xfId="0" applyNumberFormat="1" applyFont="1" applyAlignment="1" applyProtection="1">
      <alignment horizontal="center"/>
    </xf>
    <xf numFmtId="0" fontId="4" fillId="0" borderId="0" xfId="0" applyFont="1" applyFill="1" applyAlignment="1" applyProtection="1">
      <alignment horizontal="left" wrapText="1"/>
    </xf>
    <xf numFmtId="0" fontId="10" fillId="0" borderId="0" xfId="0" applyFont="1" applyFill="1" applyProtection="1"/>
    <xf numFmtId="0" fontId="9" fillId="0" borderId="0" xfId="0" applyFont="1" applyAlignment="1" applyProtection="1">
      <alignment horizontal="left" wrapText="1"/>
    </xf>
    <xf numFmtId="0" fontId="18" fillId="0" borderId="0" xfId="0" applyFont="1" applyAlignment="1" applyProtection="1">
      <alignment wrapText="1"/>
    </xf>
    <xf numFmtId="0" fontId="9" fillId="0" borderId="0" xfId="0" applyFont="1" applyFill="1" applyAlignment="1" applyProtection="1">
      <alignment horizontal="center" wrapText="1"/>
    </xf>
    <xf numFmtId="164" fontId="9" fillId="0" borderId="0" xfId="0" applyNumberFormat="1" applyFont="1" applyFill="1" applyAlignment="1" applyProtection="1">
      <alignment horizontal="center"/>
    </xf>
    <xf numFmtId="10" fontId="9" fillId="0" borderId="0" xfId="0" applyNumberFormat="1" applyFont="1" applyFill="1" applyAlignment="1" applyProtection="1">
      <alignment horizontal="center"/>
    </xf>
    <xf numFmtId="0" fontId="15" fillId="0" borderId="0" xfId="0" applyFont="1" applyBorder="1" applyAlignment="1">
      <alignment horizontal="center"/>
    </xf>
    <xf numFmtId="0" fontId="2" fillId="0" borderId="0" xfId="0" applyFont="1" applyAlignment="1">
      <alignment horizontal="center"/>
    </xf>
    <xf numFmtId="0" fontId="3" fillId="3" borderId="0" xfId="0" applyFont="1" applyFill="1" applyProtection="1">
      <protection locked="0"/>
    </xf>
    <xf numFmtId="0" fontId="2" fillId="3" borderId="0" xfId="0" applyFont="1" applyFill="1" applyProtection="1">
      <protection locked="0"/>
    </xf>
    <xf numFmtId="2" fontId="9" fillId="3" borderId="0" xfId="0" applyNumberFormat="1" applyFont="1" applyFill="1" applyAlignment="1" applyProtection="1">
      <alignment horizontal="center"/>
      <protection locked="0"/>
    </xf>
    <xf numFmtId="0" fontId="9" fillId="3" borderId="0" xfId="0" applyFont="1" applyFill="1" applyAlignment="1" applyProtection="1">
      <alignment wrapText="1"/>
      <protection locked="0"/>
    </xf>
    <xf numFmtId="0" fontId="9" fillId="3" borderId="0" xfId="0" applyFont="1" applyFill="1" applyProtection="1">
      <protection locked="0"/>
    </xf>
    <xf numFmtId="164" fontId="9" fillId="3" borderId="0" xfId="0" applyNumberFormat="1" applyFont="1" applyFill="1" applyAlignment="1" applyProtection="1">
      <alignment horizontal="left"/>
      <protection locked="0"/>
    </xf>
    <xf numFmtId="2" fontId="4" fillId="3" borderId="0" xfId="0" applyNumberFormat="1" applyFont="1" applyFill="1" applyAlignment="1" applyProtection="1">
      <alignment horizontal="center"/>
      <protection locked="0"/>
    </xf>
    <xf numFmtId="2" fontId="4" fillId="3" borderId="0" xfId="0" applyNumberFormat="1" applyFont="1" applyFill="1" applyProtection="1">
      <protection locked="0"/>
    </xf>
    <xf numFmtId="2" fontId="7" fillId="0" borderId="0" xfId="0" applyNumberFormat="1" applyFont="1" applyBorder="1" applyAlignment="1">
      <alignment horizontal="center"/>
    </xf>
    <xf numFmtId="165" fontId="23" fillId="4" borderId="0" xfId="0" applyNumberFormat="1" applyFont="1" applyFill="1" applyBorder="1" applyAlignment="1">
      <alignment horizontal="center"/>
    </xf>
    <xf numFmtId="0" fontId="2" fillId="0" borderId="0" xfId="0" applyFont="1" applyAlignment="1"/>
    <xf numFmtId="0" fontId="15" fillId="0" borderId="0" xfId="0" applyFont="1" applyBorder="1" applyAlignment="1"/>
    <xf numFmtId="0" fontId="4" fillId="3" borderId="0" xfId="0" applyFont="1" applyFill="1" applyProtection="1">
      <protection locked="0"/>
    </xf>
    <xf numFmtId="0" fontId="4" fillId="3" borderId="0" xfId="0" applyFont="1" applyFill="1" applyAlignment="1" applyProtection="1">
      <alignment horizontal="center"/>
      <protection locked="0"/>
    </xf>
    <xf numFmtId="2" fontId="4" fillId="0" borderId="0" xfId="0" applyNumberFormat="1" applyFont="1" applyFill="1" applyAlignment="1" applyProtection="1">
      <alignment horizontal="right"/>
    </xf>
    <xf numFmtId="2" fontId="9" fillId="0" borderId="0" xfId="0" applyNumberFormat="1" applyFont="1" applyFill="1" applyAlignment="1" applyProtection="1">
      <alignment horizontal="center" vertical="center"/>
    </xf>
    <xf numFmtId="0" fontId="4" fillId="5" borderId="3" xfId="0" applyFont="1" applyFill="1" applyBorder="1"/>
    <xf numFmtId="0" fontId="4" fillId="0" borderId="3" xfId="0" applyFont="1" applyBorder="1"/>
    <xf numFmtId="0" fontId="4" fillId="5" borderId="4" xfId="0" applyFont="1" applyFill="1" applyBorder="1"/>
    <xf numFmtId="0" fontId="4" fillId="5" borderId="5" xfId="0" applyFont="1" applyFill="1" applyBorder="1"/>
    <xf numFmtId="0" fontId="2" fillId="6" borderId="6" xfId="0" applyFont="1" applyFill="1" applyBorder="1" applyAlignment="1">
      <alignment horizontal="center"/>
    </xf>
    <xf numFmtId="0" fontId="2" fillId="6" borderId="7" xfId="0" applyFont="1" applyFill="1" applyBorder="1" applyAlignment="1">
      <alignment horizontal="center"/>
    </xf>
    <xf numFmtId="0" fontId="2" fillId="6" borderId="8" xfId="0" applyFont="1" applyFill="1" applyBorder="1" applyAlignment="1">
      <alignment horizontal="center"/>
    </xf>
    <xf numFmtId="164" fontId="0" fillId="5" borderId="9" xfId="0" applyNumberFormat="1" applyFill="1" applyBorder="1" applyAlignment="1">
      <alignment horizontal="center"/>
    </xf>
    <xf numFmtId="164" fontId="0" fillId="0" borderId="10" xfId="0" applyNumberFormat="1" applyBorder="1" applyAlignment="1">
      <alignment horizontal="center"/>
    </xf>
    <xf numFmtId="164" fontId="0" fillId="5" borderId="10" xfId="0" applyNumberFormat="1" applyFill="1" applyBorder="1" applyAlignment="1">
      <alignment horizontal="center"/>
    </xf>
    <xf numFmtId="164" fontId="0" fillId="5" borderId="11" xfId="0" applyNumberFormat="1" applyFill="1" applyBorder="1" applyAlignment="1">
      <alignment horizontal="center"/>
    </xf>
    <xf numFmtId="1" fontId="0" fillId="5" borderId="12" xfId="0" applyNumberFormat="1" applyFill="1" applyBorder="1" applyAlignment="1">
      <alignment horizontal="center"/>
    </xf>
    <xf numFmtId="1" fontId="0" fillId="0" borderId="13" xfId="0" applyNumberFormat="1" applyBorder="1" applyAlignment="1">
      <alignment horizontal="center"/>
    </xf>
    <xf numFmtId="1" fontId="0" fillId="5" borderId="13" xfId="0" applyNumberFormat="1" applyFill="1" applyBorder="1" applyAlignment="1">
      <alignment horizontal="center"/>
    </xf>
    <xf numFmtId="1" fontId="0" fillId="5" borderId="14" xfId="0" applyNumberFormat="1" applyFill="1" applyBorder="1" applyAlignment="1">
      <alignment horizontal="center"/>
    </xf>
    <xf numFmtId="49" fontId="4" fillId="3" borderId="0" xfId="0" applyNumberFormat="1" applyFont="1" applyFill="1" applyAlignment="1" applyProtection="1">
      <alignment horizontal="center"/>
      <protection locked="0"/>
    </xf>
    <xf numFmtId="165" fontId="9" fillId="3" borderId="0" xfId="0" applyNumberFormat="1" applyFont="1" applyFill="1" applyProtection="1">
      <protection locked="0"/>
    </xf>
    <xf numFmtId="0" fontId="4" fillId="3" borderId="0" xfId="0" applyFont="1" applyFill="1" applyAlignment="1" applyProtection="1">
      <alignment horizontal="center"/>
      <protection locked="0"/>
    </xf>
    <xf numFmtId="0" fontId="9" fillId="3" borderId="0" xfId="0" applyFont="1" applyFill="1" applyAlignment="1" applyProtection="1">
      <alignment horizontal="center"/>
      <protection locked="0"/>
    </xf>
    <xf numFmtId="0" fontId="0" fillId="0" borderId="0" xfId="0" applyAlignment="1">
      <alignment wrapText="1"/>
    </xf>
    <xf numFmtId="0" fontId="13" fillId="0" borderId="0" xfId="0" applyFont="1"/>
    <xf numFmtId="0" fontId="4" fillId="0" borderId="0" xfId="0" applyFont="1" applyAlignment="1"/>
    <xf numFmtId="0" fontId="9" fillId="0" borderId="0" xfId="0" applyFont="1" applyFill="1" applyProtection="1">
      <protection locked="0"/>
    </xf>
    <xf numFmtId="0" fontId="9" fillId="0" borderId="0" xfId="0" applyFont="1" applyFill="1" applyAlignment="1" applyProtection="1">
      <alignment horizontal="right"/>
    </xf>
    <xf numFmtId="0" fontId="4" fillId="0" borderId="10" xfId="0" applyFont="1" applyBorder="1" applyAlignment="1">
      <alignment horizontal="center"/>
    </xf>
    <xf numFmtId="0" fontId="4" fillId="3" borderId="10" xfId="0" applyFont="1" applyFill="1" applyBorder="1" applyAlignment="1">
      <alignment horizontal="center"/>
    </xf>
    <xf numFmtId="2" fontId="0" fillId="0" borderId="10" xfId="0" applyNumberFormat="1" applyBorder="1" applyAlignment="1">
      <alignment horizontal="center"/>
    </xf>
    <xf numFmtId="2" fontId="0" fillId="3" borderId="10" xfId="0" applyNumberFormat="1" applyFill="1" applyBorder="1" applyAlignment="1">
      <alignment horizontal="center"/>
    </xf>
    <xf numFmtId="0" fontId="4" fillId="0" borderId="13" xfId="0" applyFont="1" applyBorder="1" applyAlignment="1">
      <alignment horizontal="center"/>
    </xf>
    <xf numFmtId="0" fontId="4" fillId="3" borderId="3" xfId="0" applyFont="1" applyFill="1" applyBorder="1" applyAlignment="1">
      <alignment horizontal="center" vertical="center"/>
    </xf>
    <xf numFmtId="0" fontId="4" fillId="3" borderId="13" xfId="0" applyFont="1" applyFill="1" applyBorder="1" applyAlignment="1">
      <alignment horizontal="center"/>
    </xf>
    <xf numFmtId="2" fontId="0" fillId="0" borderId="13" xfId="0" applyNumberFormat="1" applyBorder="1" applyAlignment="1">
      <alignment horizontal="center"/>
    </xf>
    <xf numFmtId="0" fontId="0" fillId="3" borderId="3" xfId="0" applyFill="1" applyBorder="1"/>
    <xf numFmtId="2" fontId="0" fillId="3" borderId="13" xfId="0" applyNumberFormat="1" applyFill="1" applyBorder="1" applyAlignment="1">
      <alignment horizontal="center"/>
    </xf>
    <xf numFmtId="2" fontId="4" fillId="0" borderId="13" xfId="0" applyNumberFormat="1" applyFont="1" applyBorder="1" applyAlignment="1">
      <alignment horizontal="center"/>
    </xf>
    <xf numFmtId="0" fontId="4" fillId="0" borderId="4" xfId="0" applyFont="1" applyBorder="1"/>
    <xf numFmtId="2" fontId="0" fillId="0" borderId="11" xfId="0" applyNumberFormat="1" applyBorder="1" applyAlignment="1">
      <alignment horizontal="center"/>
    </xf>
    <xf numFmtId="2" fontId="0" fillId="0" borderId="14" xfId="0" applyNumberFormat="1" applyBorder="1" applyAlignment="1">
      <alignment horizontal="center"/>
    </xf>
    <xf numFmtId="0" fontId="4" fillId="0" borderId="0" xfId="0" applyFont="1" applyFill="1" applyAlignment="1" applyProtection="1">
      <alignment horizontal="right"/>
    </xf>
    <xf numFmtId="165" fontId="0" fillId="0" borderId="0" xfId="0" applyNumberFormat="1" applyAlignment="1">
      <alignment horizontal="center"/>
    </xf>
    <xf numFmtId="165" fontId="9" fillId="0" borderId="0" xfId="0" applyNumberFormat="1" applyFont="1" applyFill="1" applyProtection="1"/>
    <xf numFmtId="0" fontId="4" fillId="3" borderId="0" xfId="0" applyFont="1" applyFill="1" applyAlignment="1" applyProtection="1">
      <alignment horizontal="center"/>
      <protection locked="0"/>
    </xf>
    <xf numFmtId="0" fontId="4" fillId="3" borderId="0" xfId="0" applyFont="1" applyFill="1" applyAlignment="1" applyProtection="1">
      <alignment wrapText="1"/>
      <protection locked="0"/>
    </xf>
    <xf numFmtId="0" fontId="4" fillId="3" borderId="0" xfId="0" applyFont="1" applyFill="1" applyAlignment="1" applyProtection="1">
      <alignment horizontal="left"/>
      <protection locked="0"/>
    </xf>
    <xf numFmtId="0" fontId="4" fillId="0" borderId="0" xfId="0" applyFont="1" applyFill="1" applyAlignment="1" applyProtection="1">
      <alignment wrapText="1"/>
      <protection locked="0"/>
    </xf>
    <xf numFmtId="0" fontId="0" fillId="0" borderId="0" xfId="0" applyFill="1" applyAlignment="1" applyProtection="1">
      <alignment wrapText="1"/>
      <protection locked="0"/>
    </xf>
    <xf numFmtId="0" fontId="4" fillId="3" borderId="0" xfId="0" applyFont="1" applyFill="1" applyAlignment="1" applyProtection="1">
      <alignment horizontal="center"/>
      <protection locked="0"/>
    </xf>
    <xf numFmtId="2" fontId="9" fillId="3" borderId="0" xfId="0" applyNumberFormat="1" applyFont="1" applyFill="1" applyProtection="1">
      <protection locked="0"/>
    </xf>
    <xf numFmtId="2" fontId="9" fillId="3" borderId="0" xfId="0" applyNumberFormat="1" applyFont="1" applyFill="1" applyAlignment="1" applyProtection="1">
      <alignment horizontal="left"/>
      <protection locked="0"/>
    </xf>
    <xf numFmtId="0" fontId="4" fillId="3" borderId="0" xfId="0" applyFont="1" applyFill="1" applyAlignment="1" applyProtection="1">
      <alignment horizontal="left"/>
      <protection locked="0"/>
    </xf>
    <xf numFmtId="0" fontId="9" fillId="0" borderId="0" xfId="0" applyFont="1" applyFill="1" applyAlignment="1" applyProtection="1">
      <alignment horizontal="center"/>
    </xf>
    <xf numFmtId="0" fontId="4" fillId="3" borderId="0" xfId="0" applyFont="1" applyFill="1" applyAlignment="1" applyProtection="1">
      <alignment horizontal="left" wrapText="1"/>
      <protection locked="0"/>
    </xf>
    <xf numFmtId="0" fontId="4" fillId="3" borderId="0" xfId="0" applyFont="1" applyFill="1" applyAlignment="1" applyProtection="1">
      <alignment horizontal="left"/>
      <protection locked="0"/>
    </xf>
    <xf numFmtId="0" fontId="4" fillId="3" borderId="0" xfId="0" applyFont="1" applyFill="1" applyAlignment="1" applyProtection="1">
      <alignment horizontal="center"/>
      <protection locked="0"/>
    </xf>
    <xf numFmtId="0" fontId="4" fillId="0" borderId="0" xfId="0" applyFont="1" applyAlignment="1" applyProtection="1">
      <alignment horizontal="center"/>
    </xf>
    <xf numFmtId="0" fontId="4" fillId="0" borderId="0" xfId="0" applyFont="1" applyFill="1" applyAlignment="1" applyProtection="1">
      <alignment horizontal="center"/>
    </xf>
    <xf numFmtId="0" fontId="4" fillId="0" borderId="0" xfId="0" applyFont="1" applyAlignment="1" applyProtection="1">
      <alignment horizontal="left" wrapText="1"/>
    </xf>
    <xf numFmtId="0" fontId="4" fillId="3" borderId="0" xfId="0" applyFont="1" applyFill="1" applyAlignment="1" applyProtection="1">
      <alignment horizontal="left" vertical="top" wrapText="1"/>
      <protection locked="0"/>
    </xf>
    <xf numFmtId="0" fontId="9" fillId="3" borderId="0" xfId="0" applyFont="1" applyFill="1" applyAlignment="1" applyProtection="1">
      <alignment horizontal="left"/>
      <protection locked="0"/>
    </xf>
    <xf numFmtId="0" fontId="9" fillId="0" borderId="2" xfId="0" applyFont="1" applyBorder="1" applyAlignment="1" applyProtection="1">
      <alignment horizontal="left"/>
    </xf>
    <xf numFmtId="0" fontId="9" fillId="0" borderId="0" xfId="0" applyFont="1" applyBorder="1" applyAlignment="1" applyProtection="1">
      <alignment horizontal="left"/>
    </xf>
    <xf numFmtId="0" fontId="9" fillId="0" borderId="18" xfId="0" applyFont="1" applyBorder="1" applyAlignment="1" applyProtection="1">
      <alignment horizontal="left"/>
    </xf>
    <xf numFmtId="0" fontId="9" fillId="0" borderId="0" xfId="1" applyFont="1" applyAlignment="1" applyProtection="1">
      <alignment horizontal="center"/>
    </xf>
    <xf numFmtId="0" fontId="9" fillId="3" borderId="0" xfId="0" applyFont="1" applyFill="1" applyAlignment="1" applyProtection="1">
      <alignment horizontal="center"/>
      <protection locked="0"/>
    </xf>
    <xf numFmtId="0" fontId="9" fillId="0" borderId="0" xfId="0" applyFont="1" applyAlignment="1" applyProtection="1">
      <alignment horizontal="center"/>
    </xf>
    <xf numFmtId="0" fontId="18" fillId="0" borderId="0" xfId="0" applyFont="1" applyAlignment="1" applyProtection="1">
      <alignment horizontal="left" wrapText="1"/>
    </xf>
    <xf numFmtId="0" fontId="9" fillId="0" borderId="15" xfId="0" applyFont="1" applyBorder="1" applyAlignment="1" applyProtection="1">
      <alignment horizontal="left"/>
    </xf>
    <xf numFmtId="0" fontId="9" fillId="0" borderId="16" xfId="0" applyFont="1" applyBorder="1" applyAlignment="1" applyProtection="1">
      <alignment horizontal="left"/>
    </xf>
    <xf numFmtId="0" fontId="9" fillId="0" borderId="17" xfId="0" applyFont="1" applyBorder="1" applyAlignment="1" applyProtection="1">
      <alignment horizontal="left"/>
    </xf>
    <xf numFmtId="0" fontId="9" fillId="0" borderId="19" xfId="0" applyFont="1" applyBorder="1" applyAlignment="1" applyProtection="1">
      <alignment horizontal="left"/>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0" xfId="0" applyFont="1" applyFill="1" applyAlignment="1" applyProtection="1">
      <alignment horizontal="center"/>
    </xf>
    <xf numFmtId="0" fontId="4" fillId="0" borderId="0" xfId="0" applyFont="1" applyAlignment="1">
      <alignment horizontal="right"/>
    </xf>
    <xf numFmtId="165" fontId="10" fillId="0" borderId="22" xfId="0" applyNumberFormat="1" applyFont="1" applyBorder="1" applyAlignment="1">
      <alignment horizontal="center"/>
    </xf>
    <xf numFmtId="165" fontId="10" fillId="0" borderId="23" xfId="0" applyNumberFormat="1" applyFont="1" applyBorder="1" applyAlignment="1">
      <alignment horizontal="center"/>
    </xf>
    <xf numFmtId="0" fontId="7" fillId="0" borderId="0" xfId="0" applyFont="1" applyBorder="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7" fillId="0" borderId="2" xfId="0" applyFont="1" applyBorder="1" applyAlignment="1">
      <alignment horizontal="right"/>
    </xf>
    <xf numFmtId="0" fontId="7" fillId="0" borderId="0" xfId="0" applyFont="1" applyBorder="1" applyAlignment="1">
      <alignment horizontal="right"/>
    </xf>
    <xf numFmtId="0" fontId="0" fillId="0" borderId="0" xfId="0" applyAlignment="1">
      <alignment horizontal="center"/>
    </xf>
    <xf numFmtId="0" fontId="4" fillId="0" borderId="16" xfId="0" applyFont="1" applyBorder="1" applyAlignment="1">
      <alignment horizontal="left" wrapText="1"/>
    </xf>
    <xf numFmtId="0" fontId="2" fillId="7" borderId="24" xfId="0" applyFont="1" applyFill="1" applyBorder="1" applyAlignment="1">
      <alignment horizontal="center"/>
    </xf>
    <xf numFmtId="0" fontId="2" fillId="7" borderId="25" xfId="0" applyFont="1" applyFill="1" applyBorder="1" applyAlignment="1">
      <alignment horizontal="center"/>
    </xf>
    <xf numFmtId="0" fontId="2" fillId="7" borderId="26" xfId="0" applyFont="1" applyFill="1" applyBorder="1" applyAlignment="1">
      <alignment horizontal="center"/>
    </xf>
    <xf numFmtId="0" fontId="4" fillId="0" borderId="3" xfId="0" applyFont="1" applyBorder="1" applyAlignment="1">
      <alignment horizontal="center" vertical="center"/>
    </xf>
    <xf numFmtId="0" fontId="4" fillId="0" borderId="27" xfId="0" applyFont="1"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cellXfs>
  <cellStyles count="4">
    <cellStyle name="Normal" xfId="0" builtinId="0"/>
    <cellStyle name="Normal 2" xfId="1"/>
    <cellStyle name="Percent" xfId="2"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worksheet" Target="worksheets/sheet23.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chartsheet" Target="chartsheets/sheet3.xml"/><Relationship Id="rId34" Type="http://schemas.openxmlformats.org/officeDocument/2006/relationships/worksheet" Target="worksheets/sheet30.xml"/><Relationship Id="rId42" Type="http://schemas.openxmlformats.org/officeDocument/2006/relationships/worksheet" Target="worksheets/sheet38.xml"/><Relationship Id="rId47" Type="http://schemas.openxmlformats.org/officeDocument/2006/relationships/styles" Target="styles.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29" Type="http://schemas.openxmlformats.org/officeDocument/2006/relationships/worksheet" Target="worksheets/sheet26.xml"/><Relationship Id="rId41" Type="http://schemas.openxmlformats.org/officeDocument/2006/relationships/worksheet" Target="worksheets/sheet3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5.xml"/><Relationship Id="rId36" Type="http://schemas.openxmlformats.org/officeDocument/2006/relationships/worksheet" Target="worksheets/sheet32.xml"/><Relationship Id="rId49" Type="http://schemas.openxmlformats.org/officeDocument/2006/relationships/calcChain" Target="calcChain.xml"/><Relationship Id="rId10" Type="http://schemas.openxmlformats.org/officeDocument/2006/relationships/worksheet" Target="worksheets/sheet8.xml"/><Relationship Id="rId19" Type="http://schemas.openxmlformats.org/officeDocument/2006/relationships/worksheet" Target="worksheets/sheet17.xml"/><Relationship Id="rId31" Type="http://schemas.openxmlformats.org/officeDocument/2006/relationships/worksheet" Target="worksheets/sheet27.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4.xml"/><Relationship Id="rId30" Type="http://schemas.openxmlformats.org/officeDocument/2006/relationships/chartsheet" Target="chartsheets/sheet4.xml"/><Relationship Id="rId35" Type="http://schemas.openxmlformats.org/officeDocument/2006/relationships/worksheet" Target="worksheets/sheet31.xml"/><Relationship Id="rId43" Type="http://schemas.openxmlformats.org/officeDocument/2006/relationships/worksheet" Target="worksheets/sheet39.xml"/><Relationship Id="rId48" Type="http://schemas.openxmlformats.org/officeDocument/2006/relationships/sharedStrings" Target="sharedStrings.xml"/><Relationship Id="rId8" Type="http://schemas.openxmlformats.org/officeDocument/2006/relationships/worksheet" Target="worksheets/sheet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Abbeville  IDF (10 Year Design Storm)</a:t>
            </a:r>
          </a:p>
        </c:rich>
      </c:tx>
      <c:overlay val="0"/>
    </c:title>
    <c:autoTitleDeleted val="0"/>
    <c:plotArea>
      <c:layout/>
      <c:scatterChart>
        <c:scatterStyle val="smoothMarker"/>
        <c:varyColors val="0"/>
        <c:ser>
          <c:idx val="0"/>
          <c:order val="0"/>
          <c:xVal>
            <c:numRef>
              <c:f>Abbeville!$C$19:$C$26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Abbeville!$B$19:$B$26</c:f>
              <c:numCache>
                <c:formatCode>General</c:formatCode>
                <c:ptCount val="8"/>
                <c:pt idx="0">
                  <c:v>6.9326067850012283</c:v>
                </c:pt>
                <c:pt idx="1">
                  <c:v>6.0934505824806591</c:v>
                </c:pt>
                <c:pt idx="2">
                  <c:v>4.1015212888151016</c:v>
                </c:pt>
                <c:pt idx="3">
                  <c:v>2.7480480379573922</c:v>
                </c:pt>
                <c:pt idx="4">
                  <c:v>1.1795129375177651</c:v>
                </c:pt>
                <c:pt idx="5">
                  <c:v>0.63314959399507909</c:v>
                </c:pt>
                <c:pt idx="6">
                  <c:v>0.28197711263414693</c:v>
                </c:pt>
                <c:pt idx="7">
                  <c:v>0.16604036468899533</c:v>
                </c:pt>
              </c:numCache>
            </c:numRef>
          </c:yVal>
          <c:smooth val="1"/>
        </c:ser>
        <c:dLbls>
          <c:showLegendKey val="0"/>
          <c:showVal val="0"/>
          <c:showCatName val="0"/>
          <c:showSerName val="0"/>
          <c:showPercent val="0"/>
          <c:showBubbleSize val="0"/>
        </c:dLbls>
        <c:axId val="157174784"/>
        <c:axId val="157751168"/>
      </c:scatterChart>
      <c:valAx>
        <c:axId val="157174784"/>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7751168"/>
        <c:crosses val="autoZero"/>
        <c:crossBetween val="midCat"/>
      </c:valAx>
      <c:valAx>
        <c:axId val="157751168"/>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7174784"/>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Aiken IDF (10 Year Design Storm)</a:t>
            </a:r>
          </a:p>
        </c:rich>
      </c:tx>
      <c:overlay val="0"/>
    </c:title>
    <c:autoTitleDeleted val="0"/>
    <c:plotArea>
      <c:layout/>
      <c:scatterChart>
        <c:scatterStyle val="smoothMarker"/>
        <c:varyColors val="0"/>
        <c:ser>
          <c:idx val="0"/>
          <c:order val="0"/>
          <c:xVal>
            <c:numRef>
              <c:f>Aiken!$C$19:$C$26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Aiken!$B$19:$B$26</c:f>
              <c:numCache>
                <c:formatCode>General</c:formatCode>
                <c:ptCount val="8"/>
                <c:pt idx="0">
                  <c:v>7.0676830064074903</c:v>
                </c:pt>
                <c:pt idx="1">
                  <c:v>6.2082146330879251</c:v>
                </c:pt>
                <c:pt idx="2">
                  <c:v>4.1730370741665386</c:v>
                </c:pt>
                <c:pt idx="3">
                  <c:v>2.7939390815258647</c:v>
                </c:pt>
                <c:pt idx="4">
                  <c:v>1.198931671196668</c:v>
                </c:pt>
                <c:pt idx="5">
                  <c:v>0.64385846838608618</c:v>
                </c:pt>
                <c:pt idx="6">
                  <c:v>0.28701642251486142</c:v>
                </c:pt>
                <c:pt idx="7">
                  <c:v>0.16913166754054446</c:v>
                </c:pt>
              </c:numCache>
            </c:numRef>
          </c:yVal>
          <c:smooth val="1"/>
        </c:ser>
        <c:dLbls>
          <c:showLegendKey val="0"/>
          <c:showVal val="0"/>
          <c:showCatName val="0"/>
          <c:showSerName val="0"/>
          <c:showPercent val="0"/>
          <c:showBubbleSize val="0"/>
        </c:dLbls>
        <c:axId val="162438144"/>
        <c:axId val="173472384"/>
      </c:scatterChart>
      <c:valAx>
        <c:axId val="162438144"/>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3472384"/>
        <c:crosses val="autoZero"/>
        <c:crossBetween val="midCat"/>
      </c:valAx>
      <c:valAx>
        <c:axId val="173472384"/>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INTESNSITY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2438144"/>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Greenville IDF (10 Year Design Storm)</a:t>
            </a:r>
          </a:p>
        </c:rich>
      </c:tx>
      <c:overlay val="0"/>
    </c:title>
    <c:autoTitleDeleted val="0"/>
    <c:plotArea>
      <c:layout/>
      <c:scatterChart>
        <c:scatterStyle val="smoothMarker"/>
        <c:varyColors val="0"/>
        <c:ser>
          <c:idx val="0"/>
          <c:order val="0"/>
          <c:xVal>
            <c:numRef>
              <c:f>Greenville!$C$19:$C$26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Greenville!$B$19:$B$26</c:f>
              <c:numCache>
                <c:formatCode>General</c:formatCode>
                <c:ptCount val="8"/>
                <c:pt idx="0">
                  <c:v>6.8181147223895362</c:v>
                </c:pt>
                <c:pt idx="1">
                  <c:v>5.996055276929809</c:v>
                </c:pt>
                <c:pt idx="2">
                  <c:v>4.0406654221006209</c:v>
                </c:pt>
                <c:pt idx="3">
                  <c:v>2.7089383589452134</c:v>
                </c:pt>
                <c:pt idx="4">
                  <c:v>1.1629477897141913</c:v>
                </c:pt>
                <c:pt idx="5">
                  <c:v>0.62401676844194798</c:v>
                </c:pt>
                <c:pt idx="6">
                  <c:v>0.27768313298281339</c:v>
                </c:pt>
                <c:pt idx="7">
                  <c:v>0.16340815537449951</c:v>
                </c:pt>
              </c:numCache>
            </c:numRef>
          </c:yVal>
          <c:smooth val="1"/>
        </c:ser>
        <c:dLbls>
          <c:showLegendKey val="0"/>
          <c:showVal val="0"/>
          <c:showCatName val="0"/>
          <c:showSerName val="0"/>
          <c:showPercent val="0"/>
          <c:showBubbleSize val="0"/>
        </c:dLbls>
        <c:axId val="138995200"/>
        <c:axId val="138997120"/>
      </c:scatterChart>
      <c:valAx>
        <c:axId val="13899520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38997120"/>
        <c:crosses val="autoZero"/>
        <c:crossBetween val="midCat"/>
      </c:valAx>
      <c:valAx>
        <c:axId val="138997120"/>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layout>
            <c:manualLayout>
              <c:xMode val="edge"/>
              <c:yMode val="edge"/>
              <c:x val="1.6114216492169247E-2"/>
              <c:y val="0.33846735067207506"/>
            </c:manualLayout>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3899520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Orangeburg IDF (10 Year Design Storm)</a:t>
            </a:r>
          </a:p>
        </c:rich>
      </c:tx>
      <c:overlay val="0"/>
    </c:title>
    <c:autoTitleDeleted val="0"/>
    <c:plotArea>
      <c:layout/>
      <c:scatterChart>
        <c:scatterStyle val="smoothMarker"/>
        <c:varyColors val="0"/>
        <c:ser>
          <c:idx val="0"/>
          <c:order val="0"/>
          <c:xVal>
            <c:numRef>
              <c:f>Orangeburg!$C$19:$C$26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Orangeburg!$B$19:$B$26</c:f>
              <c:numCache>
                <c:formatCode>General</c:formatCode>
                <c:ptCount val="8"/>
                <c:pt idx="0">
                  <c:v>8.1139993222408719</c:v>
                </c:pt>
                <c:pt idx="1">
                  <c:v>7.0933888069881101</c:v>
                </c:pt>
                <c:pt idx="2">
                  <c:v>4.7200113242563795</c:v>
                </c:pt>
                <c:pt idx="3">
                  <c:v>3.143632202113591</c:v>
                </c:pt>
                <c:pt idx="4">
                  <c:v>1.3468837867134253</c:v>
                </c:pt>
                <c:pt idx="5">
                  <c:v>0.72567466285088722</c:v>
                </c:pt>
                <c:pt idx="6">
                  <c:v>0.32570528955048439</c:v>
                </c:pt>
                <c:pt idx="7">
                  <c:v>0.19294918517435336</c:v>
                </c:pt>
              </c:numCache>
            </c:numRef>
          </c:yVal>
          <c:smooth val="1"/>
        </c:ser>
        <c:dLbls>
          <c:showLegendKey val="0"/>
          <c:showVal val="0"/>
          <c:showCatName val="0"/>
          <c:showSerName val="0"/>
          <c:showPercent val="0"/>
          <c:showBubbleSize val="0"/>
        </c:dLbls>
        <c:axId val="139627520"/>
        <c:axId val="139662464"/>
      </c:scatterChart>
      <c:valAx>
        <c:axId val="13962752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(HRS)</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39662464"/>
        <c:crosses val="autoZero"/>
        <c:crossBetween val="midCat"/>
      </c:valAx>
      <c:valAx>
        <c:axId val="139662464"/>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3962752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24.xml"/></Relationships>
</file>

<file path=xl/chartsheets/sheet1.xml><?xml version="1.0" encoding="utf-8"?>
<chartsheet xmlns="http://schemas.openxmlformats.org/spreadsheetml/2006/main" xmlns:r="http://schemas.openxmlformats.org/officeDocument/2006/relationships">
  <sheetPr/>
  <sheetViews>
    <sheetView zoomScale="122"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23" workbookViewId="0"/>
  </sheetViews>
  <pageMargins left="0.7" right="0.7" top="0.75" bottom="0.75" header="0.3" footer="0.3"/>
  <pageSetup orientation="landscape" r:id="rId1"/>
  <drawing r:id="rId2"/>
</chartsheet>
</file>

<file path=xl/chartsheets/sheet3.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8673" name="Object 1" hidden="1">
              <a:extLst>
                <a:ext uri="{63B3BB69-23CF-44E3-9099-C40C66FF867C}">
                  <a14:compatExt spid="_x0000_s28673"/>
                </a:ext>
              </a:extLst>
            </xdr:cNvPr>
            <xdr:cNvSpPr/>
          </xdr:nvSpPr>
          <xdr:spPr>
            <a:xfrm>
              <a:off x="0" y="0"/>
              <a:ext cx="0" cy="0"/>
            </a:xfrm>
            <a:prstGeom prst="rect">
              <a:avLst/>
            </a:prstGeom>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0721" name="Object 1" hidden="1">
              <a:extLst>
                <a:ext uri="{63B3BB69-23CF-44E3-9099-C40C66FF867C}">
                  <a14:compatExt spid="_x0000_s30721"/>
                </a:ext>
              </a:extLst>
            </xdr:cNvPr>
            <xdr:cNvSpPr/>
          </xdr:nvSpPr>
          <xdr:spPr>
            <a:xfrm>
              <a:off x="0" y="0"/>
              <a:ext cx="0" cy="0"/>
            </a:xfrm>
            <a:prstGeom prst="rect">
              <a:avLst/>
            </a:prstGeom>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1745" name="Object 1" hidden="1">
              <a:extLst>
                <a:ext uri="{63B3BB69-23CF-44E3-9099-C40C66FF867C}">
                  <a14:compatExt spid="_x0000_s31745"/>
                </a:ext>
              </a:extLst>
            </xdr:cNvPr>
            <xdr:cNvSpPr/>
          </xdr:nvSpPr>
          <xdr:spPr>
            <a:xfrm>
              <a:off x="0" y="0"/>
              <a:ext cx="0" cy="0"/>
            </a:xfrm>
            <a:prstGeom prst="rect">
              <a:avLst/>
            </a:prstGeom>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2769" name="Object 1" hidden="1">
              <a:extLst>
                <a:ext uri="{63B3BB69-23CF-44E3-9099-C40C66FF867C}">
                  <a14:compatExt spid="_x0000_s32769"/>
                </a:ext>
              </a:extLst>
            </xdr:cNvPr>
            <xdr:cNvSpPr/>
          </xdr:nvSpPr>
          <xdr:spPr>
            <a:xfrm>
              <a:off x="0" y="0"/>
              <a:ext cx="0" cy="0"/>
            </a:xfrm>
            <a:prstGeom prst="rect">
              <a:avLst/>
            </a:prstGeom>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3793" name="Object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xdr:wsDr>
</file>

<file path=xl/drawings/drawing24.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4817" name="Object 1" hidden="1">
              <a:extLst>
                <a:ext uri="{63B3BB69-23CF-44E3-9099-C40C66FF867C}">
                  <a14:compatExt spid="_x0000_s34817"/>
                </a:ext>
              </a:extLst>
            </xdr:cNvPr>
            <xdr:cNvSpPr/>
          </xdr:nvSpPr>
          <xdr:spPr>
            <a:xfrm>
              <a:off x="0" y="0"/>
              <a:ext cx="0" cy="0"/>
            </a:xfrm>
            <a:prstGeom prst="rect">
              <a:avLst/>
            </a:prstGeom>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drawings/drawing2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7889" name="Object 1" hidden="1">
              <a:extLst>
                <a:ext uri="{63B3BB69-23CF-44E3-9099-C40C66FF867C}">
                  <a14:compatExt spid="_x0000_s378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9937" name="Object 1"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3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40961" name="Object 1" hidden="1">
              <a:extLst>
                <a:ext uri="{63B3BB69-23CF-44E3-9099-C40C66FF867C}">
                  <a14:compatExt spid="_x0000_s4096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6385" name="Object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4577" name="Object 1" hidden="1">
              <a:extLst>
                <a:ext uri="{63B3BB69-23CF-44E3-9099-C40C66FF867C}">
                  <a14:compatExt spid="_x0000_s2457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195/Drainage/Design%20Spreadsheets/Cross-Line%20Analysi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195/Drainage/Design%20Spreadsheets/Outfall%20Analysis(11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 XXX+XX (CHAIN) Rat."/>
      <sheetName val="SCS"/>
      <sheetName val="IDF-Greenville"/>
      <sheetName val="Rainfall Distribution Coef."/>
      <sheetName val="Ref"/>
    </sheetNames>
    <sheetDataSet>
      <sheetData sheetId="0" refreshError="1"/>
      <sheetData sheetId="1" refreshError="1"/>
      <sheetData sheetId="2" refreshError="1"/>
      <sheetData sheetId="3"/>
      <sheetData sheetId="4">
        <row r="2">
          <cell r="A2" t="str">
            <v>Interstate</v>
          </cell>
          <cell r="C2" t="str">
            <v>Rainfall Distrubution Type I</v>
          </cell>
        </row>
        <row r="3">
          <cell r="A3" t="str">
            <v>Primary</v>
          </cell>
          <cell r="C3" t="str">
            <v>Rainfall Distrubution Type IA</v>
          </cell>
        </row>
        <row r="4">
          <cell r="A4" t="str">
            <v>Secondary</v>
          </cell>
          <cell r="C4" t="str">
            <v>Rainfall Distrubution Type II</v>
          </cell>
        </row>
        <row r="5">
          <cell r="C5" t="str">
            <v>Rainfall Distrubution Type III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Rational"/>
      <sheetName val="SCS"/>
      <sheetName val="tc-pre"/>
      <sheetName val="tc-post"/>
      <sheetName val="Greenville IDF Chart (10 Year)"/>
      <sheetName val="Greenville"/>
      <sheetName val="Orangeburg IDF Chart (10 Year)"/>
      <sheetName val="Orangeburg"/>
      <sheetName val="Rainfall Distribution Coef."/>
    </sheetNames>
    <sheetDataSet>
      <sheetData sheetId="0"/>
      <sheetData sheetId="1"/>
      <sheetData sheetId="2"/>
      <sheetData sheetId="3"/>
      <sheetData sheetId="4"/>
      <sheetData sheetId="5" refreshError="1"/>
      <sheetData sheetId="6"/>
      <sheetData sheetId="7" refreshError="1"/>
      <sheetData sheetId="8"/>
      <sheetData sheetId="9">
        <row r="2">
          <cell r="K2" t="str">
            <v>Rainfall Distribution Type I</v>
          </cell>
        </row>
        <row r="3">
          <cell r="K3" t="str">
            <v>Rainfall Distribution Type IA</v>
          </cell>
        </row>
        <row r="4">
          <cell r="K4" t="str">
            <v>Rainfall Distribution Type II</v>
          </cell>
        </row>
        <row r="5">
          <cell r="K5" t="str">
            <v>Rainfall Distribution Type III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3.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7.bin"/><Relationship Id="rId5" Type="http://schemas.openxmlformats.org/officeDocument/2006/relationships/image" Target="../media/image1.emf"/><Relationship Id="rId4" Type="http://schemas.openxmlformats.org/officeDocument/2006/relationships/oleObject" Target="../embeddings/oleObject12.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8.bin"/><Relationship Id="rId5" Type="http://schemas.openxmlformats.org/officeDocument/2006/relationships/image" Target="../media/image1.emf"/><Relationship Id="rId4" Type="http://schemas.openxmlformats.org/officeDocument/2006/relationships/oleObject" Target="../embeddings/oleObject13.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9.bin"/><Relationship Id="rId5" Type="http://schemas.openxmlformats.org/officeDocument/2006/relationships/image" Target="../media/image1.emf"/><Relationship Id="rId4" Type="http://schemas.openxmlformats.org/officeDocument/2006/relationships/oleObject" Target="../embeddings/oleObject14.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20.bin"/><Relationship Id="rId5" Type="http://schemas.openxmlformats.org/officeDocument/2006/relationships/image" Target="../media/image1.emf"/><Relationship Id="rId4" Type="http://schemas.openxmlformats.org/officeDocument/2006/relationships/oleObject" Target="../embeddings/oleObject15.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21.bin"/><Relationship Id="rId5" Type="http://schemas.openxmlformats.org/officeDocument/2006/relationships/image" Target="../media/image1.emf"/><Relationship Id="rId4" Type="http://schemas.openxmlformats.org/officeDocument/2006/relationships/oleObject" Target="../embeddings/oleObject16.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image" Target="../media/image1.emf"/><Relationship Id="rId4" Type="http://schemas.openxmlformats.org/officeDocument/2006/relationships/oleObject" Target="../embeddings/oleObject17.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1.xml"/><Relationship Id="rId1" Type="http://schemas.openxmlformats.org/officeDocument/2006/relationships/printerSettings" Target="../printerSettings/printerSettings23.bin"/><Relationship Id="rId5" Type="http://schemas.openxmlformats.org/officeDocument/2006/relationships/image" Target="../media/image1.emf"/><Relationship Id="rId4" Type="http://schemas.openxmlformats.org/officeDocument/2006/relationships/oleObject" Target="../embeddings/oleObject18.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2.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9.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3.xml"/><Relationship Id="rId1" Type="http://schemas.openxmlformats.org/officeDocument/2006/relationships/printerSettings" Target="../printerSettings/printerSettings25.bin"/><Relationship Id="rId5" Type="http://schemas.openxmlformats.org/officeDocument/2006/relationships/image" Target="../media/image1.emf"/><Relationship Id="rId4" Type="http://schemas.openxmlformats.org/officeDocument/2006/relationships/oleObject" Target="../embeddings/oleObject20.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5.xml"/><Relationship Id="rId1" Type="http://schemas.openxmlformats.org/officeDocument/2006/relationships/printerSettings" Target="../printerSettings/printerSettings26.bin"/><Relationship Id="rId5" Type="http://schemas.openxmlformats.org/officeDocument/2006/relationships/image" Target="../media/image1.emf"/><Relationship Id="rId4" Type="http://schemas.openxmlformats.org/officeDocument/2006/relationships/oleObject" Target="../embeddings/oleObject21.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6.xml"/><Relationship Id="rId1" Type="http://schemas.openxmlformats.org/officeDocument/2006/relationships/printerSettings" Target="../printerSettings/printerSettings27.bin"/><Relationship Id="rId5" Type="http://schemas.openxmlformats.org/officeDocument/2006/relationships/image" Target="../media/image1.emf"/><Relationship Id="rId4" Type="http://schemas.openxmlformats.org/officeDocument/2006/relationships/oleObject" Target="../embeddings/oleObject22.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7.xml"/><Relationship Id="rId1" Type="http://schemas.openxmlformats.org/officeDocument/2006/relationships/printerSettings" Target="../printerSettings/printerSettings28.bin"/><Relationship Id="rId5" Type="http://schemas.openxmlformats.org/officeDocument/2006/relationships/image" Target="../media/image1.emf"/><Relationship Id="rId4" Type="http://schemas.openxmlformats.org/officeDocument/2006/relationships/oleObject" Target="../embeddings/oleObject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8.xml"/><Relationship Id="rId1" Type="http://schemas.openxmlformats.org/officeDocument/2006/relationships/printerSettings" Target="../printerSettings/printerSettings29.bin"/><Relationship Id="rId5" Type="http://schemas.openxmlformats.org/officeDocument/2006/relationships/image" Target="../media/image1.emf"/><Relationship Id="rId4" Type="http://schemas.openxmlformats.org/officeDocument/2006/relationships/oleObject" Target="../embeddings/oleObject24.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9.xml"/><Relationship Id="rId1" Type="http://schemas.openxmlformats.org/officeDocument/2006/relationships/printerSettings" Target="../printerSettings/printerSettings30.bin"/><Relationship Id="rId5" Type="http://schemas.openxmlformats.org/officeDocument/2006/relationships/image" Target="../media/image1.emf"/><Relationship Id="rId4" Type="http://schemas.openxmlformats.org/officeDocument/2006/relationships/oleObject" Target="../embeddings/oleObject25.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30.xml"/><Relationship Id="rId1" Type="http://schemas.openxmlformats.org/officeDocument/2006/relationships/printerSettings" Target="../printerSettings/printerSettings31.bin"/><Relationship Id="rId5" Type="http://schemas.openxmlformats.org/officeDocument/2006/relationships/image" Target="../media/image1.emf"/><Relationship Id="rId4" Type="http://schemas.openxmlformats.org/officeDocument/2006/relationships/oleObject" Target="../embeddings/oleObject26.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31.xml"/><Relationship Id="rId1" Type="http://schemas.openxmlformats.org/officeDocument/2006/relationships/printerSettings" Target="../printerSettings/printerSettings32.bin"/><Relationship Id="rId5" Type="http://schemas.openxmlformats.org/officeDocument/2006/relationships/image" Target="../media/image1.emf"/><Relationship Id="rId4" Type="http://schemas.openxmlformats.org/officeDocument/2006/relationships/oleObject" Target="../embeddings/oleObject27.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32.xml"/><Relationship Id="rId1" Type="http://schemas.openxmlformats.org/officeDocument/2006/relationships/printerSettings" Target="../printerSettings/printerSettings33.bin"/><Relationship Id="rId5" Type="http://schemas.openxmlformats.org/officeDocument/2006/relationships/image" Target="../media/image1.emf"/><Relationship Id="rId4" Type="http://schemas.openxmlformats.org/officeDocument/2006/relationships/oleObject" Target="../embeddings/oleObject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H7" sqref="H7"/>
    </sheetView>
  </sheetViews>
  <sheetFormatPr defaultRowHeight="12.75" x14ac:dyDescent="0.2"/>
  <cols>
    <col min="1" max="1" width="15.85546875" bestFit="1" customWidth="1"/>
    <col min="2" max="2" width="12" bestFit="1" customWidth="1"/>
  </cols>
  <sheetData>
    <row r="1" spans="1:11" x14ac:dyDescent="0.2">
      <c r="A1" t="s">
        <v>142</v>
      </c>
      <c r="B1" t="s">
        <v>141</v>
      </c>
      <c r="K1" t="s">
        <v>414</v>
      </c>
    </row>
    <row r="2" spans="1:11" x14ac:dyDescent="0.2">
      <c r="A2" s="3" t="s">
        <v>143</v>
      </c>
      <c r="K2" t="s">
        <v>415</v>
      </c>
    </row>
    <row r="3" spans="1:11" x14ac:dyDescent="0.2">
      <c r="A3" s="3" t="s">
        <v>144</v>
      </c>
    </row>
    <row r="4" spans="1:11" x14ac:dyDescent="0.2">
      <c r="A4" s="3" t="s">
        <v>145</v>
      </c>
    </row>
    <row r="5" spans="1:11" x14ac:dyDescent="0.2">
      <c r="A5" s="3" t="s">
        <v>146</v>
      </c>
    </row>
    <row r="6" spans="1:11" x14ac:dyDescent="0.2">
      <c r="A6" s="3" t="s">
        <v>147</v>
      </c>
    </row>
    <row r="7" spans="1:11" x14ac:dyDescent="0.2">
      <c r="A7" s="3" t="s">
        <v>148</v>
      </c>
    </row>
    <row r="8" spans="1:11" x14ac:dyDescent="0.2">
      <c r="A8" s="3" t="s">
        <v>149</v>
      </c>
    </row>
    <row r="9" spans="1:11" x14ac:dyDescent="0.2">
      <c r="A9" s="3" t="s">
        <v>150</v>
      </c>
    </row>
    <row r="10" spans="1:11" x14ac:dyDescent="0.2">
      <c r="A10" s="3" t="s">
        <v>151</v>
      </c>
    </row>
    <row r="11" spans="1:11" x14ac:dyDescent="0.2">
      <c r="A11" s="3" t="s">
        <v>152</v>
      </c>
    </row>
    <row r="12" spans="1:11" x14ac:dyDescent="0.2">
      <c r="A12" s="3" t="s">
        <v>153</v>
      </c>
    </row>
    <row r="13" spans="1:11" x14ac:dyDescent="0.2">
      <c r="A13" s="3" t="s">
        <v>154</v>
      </c>
    </row>
    <row r="14" spans="1:11" x14ac:dyDescent="0.2">
      <c r="A14" s="3" t="s">
        <v>155</v>
      </c>
    </row>
    <row r="15" spans="1:11" x14ac:dyDescent="0.2">
      <c r="A15" s="3" t="s">
        <v>156</v>
      </c>
    </row>
    <row r="16" spans="1:11" x14ac:dyDescent="0.2">
      <c r="A16" s="3" t="s">
        <v>157</v>
      </c>
    </row>
    <row r="17" spans="1:1" x14ac:dyDescent="0.2">
      <c r="A17" s="3" t="s">
        <v>158</v>
      </c>
    </row>
    <row r="18" spans="1:1" x14ac:dyDescent="0.2">
      <c r="A18" s="3" t="s">
        <v>159</v>
      </c>
    </row>
    <row r="19" spans="1:1" x14ac:dyDescent="0.2">
      <c r="A19" s="3" t="s">
        <v>160</v>
      </c>
    </row>
    <row r="20" spans="1:1" x14ac:dyDescent="0.2">
      <c r="A20" s="3" t="s">
        <v>161</v>
      </c>
    </row>
    <row r="21" spans="1:1" x14ac:dyDescent="0.2">
      <c r="A21" s="3" t="s">
        <v>162</v>
      </c>
    </row>
    <row r="22" spans="1:1" x14ac:dyDescent="0.2">
      <c r="A22" s="3" t="s">
        <v>163</v>
      </c>
    </row>
    <row r="23" spans="1:1" x14ac:dyDescent="0.2">
      <c r="A23" s="3" t="s">
        <v>164</v>
      </c>
    </row>
    <row r="24" spans="1:1" x14ac:dyDescent="0.2">
      <c r="A24" s="3" t="s">
        <v>165</v>
      </c>
    </row>
    <row r="25" spans="1:1" x14ac:dyDescent="0.2">
      <c r="A25" s="3" t="s">
        <v>173</v>
      </c>
    </row>
    <row r="26" spans="1:1" x14ac:dyDescent="0.2">
      <c r="A26" s="3" t="s">
        <v>166</v>
      </c>
    </row>
    <row r="27" spans="1:1" x14ac:dyDescent="0.2">
      <c r="A27" s="3" t="s">
        <v>167</v>
      </c>
    </row>
    <row r="28" spans="1:1" x14ac:dyDescent="0.2">
      <c r="A28" s="3" t="s">
        <v>168</v>
      </c>
    </row>
    <row r="29" spans="1:1" x14ac:dyDescent="0.2">
      <c r="A29" s="3" t="s">
        <v>169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146</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249.29889</v>
      </c>
      <c r="C9" s="30">
        <v>34.174900000000001</v>
      </c>
      <c r="D9" s="30">
        <v>1.02668</v>
      </c>
      <c r="E9" s="29"/>
      <c r="F9" s="29"/>
      <c r="G9" s="9">
        <f t="shared" ref="G9:G14" si="0">B9/(C9+$D$4)^D9</f>
        <v>2.6634239665263109</v>
      </c>
      <c r="H9" s="9">
        <f t="shared" ref="H9:H14" si="1">B9/(C9+$D$5)^D9</f>
        <v>2.6634239665263109</v>
      </c>
      <c r="J9" s="29"/>
      <c r="K9" s="29"/>
      <c r="L9" s="30"/>
    </row>
    <row r="10" spans="1:12" x14ac:dyDescent="0.2">
      <c r="A10" s="31">
        <v>5</v>
      </c>
      <c r="B10" s="34">
        <v>261.13655</v>
      </c>
      <c r="C10" s="30">
        <v>32.358699999999999</v>
      </c>
      <c r="D10" s="30">
        <v>1.01519</v>
      </c>
      <c r="E10" s="29"/>
      <c r="F10" s="29"/>
      <c r="G10" s="9">
        <f t="shared" si="0"/>
        <v>3.0017988473622963</v>
      </c>
      <c r="H10" s="9">
        <f t="shared" si="1"/>
        <v>3.0017988473622963</v>
      </c>
      <c r="J10" s="29"/>
      <c r="K10" s="29"/>
      <c r="L10" s="30"/>
    </row>
    <row r="11" spans="1:12" x14ac:dyDescent="0.2">
      <c r="A11" s="31">
        <v>10</v>
      </c>
      <c r="B11" s="34">
        <v>269.52906000000002</v>
      </c>
      <c r="C11" s="30">
        <v>31.104620000000001</v>
      </c>
      <c r="D11" s="30">
        <v>1.0071399999999999</v>
      </c>
      <c r="E11" s="29"/>
      <c r="F11" s="29"/>
      <c r="G11" s="35">
        <f t="shared" si="0"/>
        <v>3.2605615259452052</v>
      </c>
      <c r="H11" s="118">
        <f t="shared" si="1"/>
        <v>3.2605615259452052</v>
      </c>
      <c r="J11" s="29"/>
      <c r="K11" s="29"/>
      <c r="L11" s="30"/>
    </row>
    <row r="12" spans="1:12" x14ac:dyDescent="0.2">
      <c r="A12" s="31">
        <v>25</v>
      </c>
      <c r="B12" s="34">
        <v>281.11392999999998</v>
      </c>
      <c r="C12" s="30">
        <v>29.392219999999998</v>
      </c>
      <c r="D12" s="30">
        <v>0.99607000000000001</v>
      </c>
      <c r="E12" s="29"/>
      <c r="F12" s="29"/>
      <c r="G12" s="9">
        <f t="shared" si="0"/>
        <v>3.6474530009461668</v>
      </c>
      <c r="H12" s="9">
        <f t="shared" si="1"/>
        <v>3.6474530009461668</v>
      </c>
      <c r="J12" s="29"/>
      <c r="K12" s="29"/>
      <c r="L12" s="30"/>
    </row>
    <row r="13" spans="1:12" x14ac:dyDescent="0.2">
      <c r="A13" s="31">
        <v>50</v>
      </c>
      <c r="B13" s="34">
        <v>289.29525999999998</v>
      </c>
      <c r="C13" s="30">
        <v>28.173349999999999</v>
      </c>
      <c r="D13" s="30">
        <v>0.98823000000000005</v>
      </c>
      <c r="E13" s="29"/>
      <c r="F13" s="29"/>
      <c r="G13" s="9">
        <f t="shared" si="0"/>
        <v>3.9447979504019997</v>
      </c>
      <c r="H13" s="9">
        <f t="shared" si="1"/>
        <v>3.9447979504019997</v>
      </c>
    </row>
    <row r="14" spans="1:12" x14ac:dyDescent="0.2">
      <c r="A14" s="31">
        <v>100</v>
      </c>
      <c r="B14" s="34">
        <v>296.80041999999997</v>
      </c>
      <c r="C14" s="30">
        <v>27.025970000000001</v>
      </c>
      <c r="D14" s="30">
        <v>0.98097000000000001</v>
      </c>
      <c r="E14" s="29"/>
      <c r="F14" s="29"/>
      <c r="G14" s="9">
        <f t="shared" si="0"/>
        <v>4.2386939673515691</v>
      </c>
      <c r="H14" s="9">
        <f t="shared" si="1"/>
        <v>4.2386939673515691</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7.2764880427313479</v>
      </c>
      <c r="C19" s="30">
        <f t="shared" ref="C19:C26" si="2">A19/60</f>
        <v>8.3333333333333329E-2</v>
      </c>
      <c r="F19" s="29"/>
      <c r="G19" s="29"/>
      <c r="H19" s="29"/>
    </row>
    <row r="20" spans="1:8" x14ac:dyDescent="0.2">
      <c r="A20" s="29">
        <v>10</v>
      </c>
      <c r="B20" s="29">
        <f t="shared" ref="B20:B26" si="3">$B$11/($C$11+A20)^$D$11</f>
        <v>6.3854539888732011</v>
      </c>
      <c r="C20" s="30">
        <f t="shared" si="2"/>
        <v>0.16666666666666666</v>
      </c>
      <c r="F20" s="29"/>
      <c r="G20" s="29"/>
      <c r="H20" s="29"/>
    </row>
    <row r="21" spans="1:8" x14ac:dyDescent="0.2">
      <c r="A21" s="29">
        <v>30</v>
      </c>
      <c r="B21" s="29">
        <f t="shared" si="3"/>
        <v>4.2833048043857378</v>
      </c>
      <c r="C21" s="30">
        <f t="shared" si="2"/>
        <v>0.5</v>
      </c>
      <c r="F21" s="29"/>
      <c r="G21" s="29"/>
      <c r="H21" s="29"/>
    </row>
    <row r="22" spans="1:8" x14ac:dyDescent="0.2">
      <c r="A22" s="29">
        <v>60</v>
      </c>
      <c r="B22" s="29">
        <f t="shared" si="3"/>
        <v>2.8646665517230274</v>
      </c>
      <c r="C22" s="30">
        <f t="shared" si="2"/>
        <v>1</v>
      </c>
      <c r="F22" s="29"/>
      <c r="G22" s="29"/>
      <c r="H22" s="29"/>
    </row>
    <row r="23" spans="1:8" x14ac:dyDescent="0.2">
      <c r="A23" s="29">
        <v>180</v>
      </c>
      <c r="B23" s="29">
        <f t="shared" si="3"/>
        <v>1.2288841560743486</v>
      </c>
      <c r="C23" s="30">
        <f t="shared" si="2"/>
        <v>3</v>
      </c>
      <c r="F23" s="29"/>
      <c r="G23" s="29"/>
      <c r="H23" s="29"/>
    </row>
    <row r="24" spans="1:8" x14ac:dyDescent="0.2">
      <c r="A24" s="29">
        <v>360</v>
      </c>
      <c r="B24" s="29">
        <f t="shared" si="3"/>
        <v>0.66039485159673483</v>
      </c>
      <c r="C24" s="30">
        <f t="shared" si="2"/>
        <v>6</v>
      </c>
      <c r="F24" s="29"/>
      <c r="G24" s="33"/>
      <c r="H24" s="33"/>
    </row>
    <row r="25" spans="1:8" x14ac:dyDescent="0.2">
      <c r="A25" s="29">
        <v>840</v>
      </c>
      <c r="B25" s="29">
        <f t="shared" si="3"/>
        <v>0.29481065626438674</v>
      </c>
      <c r="C25" s="30">
        <f t="shared" si="2"/>
        <v>14</v>
      </c>
      <c r="F25" s="29"/>
      <c r="G25" s="9"/>
      <c r="H25" s="9"/>
    </row>
    <row r="26" spans="1:8" x14ac:dyDescent="0.2">
      <c r="A26" s="29">
        <v>1440</v>
      </c>
      <c r="B26" s="29">
        <f t="shared" si="3"/>
        <v>0.17391821214367048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355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3553"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147</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243.45839000000001</v>
      </c>
      <c r="C9" s="30">
        <v>35.099879999999999</v>
      </c>
      <c r="D9" s="30">
        <v>1.0324199999999999</v>
      </c>
      <c r="E9" s="29"/>
      <c r="F9" s="29"/>
      <c r="G9" s="9">
        <f t="shared" ref="G9:G14" si="0">B9/(C9+$D$4)^D9</f>
        <v>2.5070643692208816</v>
      </c>
      <c r="H9" s="9">
        <f t="shared" ref="H9:H14" si="1">B9/(C9+$D$5)^D9</f>
        <v>2.5070643692208816</v>
      </c>
      <c r="J9" s="29"/>
      <c r="K9" s="29"/>
      <c r="L9" s="30"/>
    </row>
    <row r="10" spans="1:12" x14ac:dyDescent="0.2">
      <c r="A10" s="31">
        <v>5</v>
      </c>
      <c r="B10" s="34">
        <v>257.07785999999999</v>
      </c>
      <c r="C10" s="30">
        <v>32.97428</v>
      </c>
      <c r="D10" s="30">
        <v>1.01911</v>
      </c>
      <c r="E10" s="29"/>
      <c r="F10" s="29"/>
      <c r="G10" s="9">
        <f t="shared" si="0"/>
        <v>2.8823975468399432</v>
      </c>
      <c r="H10" s="9">
        <f t="shared" si="1"/>
        <v>2.8823975468399432</v>
      </c>
      <c r="J10" s="29"/>
      <c r="K10" s="29"/>
      <c r="L10" s="30"/>
    </row>
    <row r="11" spans="1:12" x14ac:dyDescent="0.2">
      <c r="A11" s="31">
        <v>10</v>
      </c>
      <c r="B11" s="34">
        <v>266.55779000000001</v>
      </c>
      <c r="C11" s="30">
        <v>31.546500000000002</v>
      </c>
      <c r="D11" s="30">
        <v>1.0099800000000001</v>
      </c>
      <c r="E11" s="29"/>
      <c r="F11" s="29"/>
      <c r="G11" s="35">
        <f t="shared" si="0"/>
        <v>3.1670798444473061</v>
      </c>
      <c r="H11" s="118">
        <f t="shared" si="1"/>
        <v>3.1670798444473061</v>
      </c>
      <c r="J11" s="29"/>
      <c r="K11" s="29"/>
      <c r="L11" s="30"/>
    </row>
    <row r="12" spans="1:12" x14ac:dyDescent="0.2">
      <c r="A12" s="31">
        <v>25</v>
      </c>
      <c r="B12" s="34">
        <v>278.96244000000002</v>
      </c>
      <c r="C12" s="30">
        <v>29.710239999999999</v>
      </c>
      <c r="D12" s="30">
        <v>0.99812999999999996</v>
      </c>
      <c r="E12" s="29"/>
      <c r="F12" s="29"/>
      <c r="G12" s="9">
        <f t="shared" si="0"/>
        <v>3.5726955619703196</v>
      </c>
      <c r="H12" s="9">
        <f t="shared" si="1"/>
        <v>3.5726955619703196</v>
      </c>
      <c r="J12" s="29"/>
      <c r="K12" s="29"/>
      <c r="L12" s="30"/>
    </row>
    <row r="13" spans="1:12" x14ac:dyDescent="0.2">
      <c r="A13" s="31">
        <v>50</v>
      </c>
      <c r="B13" s="34">
        <v>287.88720999999998</v>
      </c>
      <c r="C13" s="30">
        <v>28.385120000000001</v>
      </c>
      <c r="D13" s="30">
        <v>0.98958999999999997</v>
      </c>
      <c r="E13" s="29"/>
      <c r="F13" s="29"/>
      <c r="G13" s="9">
        <f t="shared" si="0"/>
        <v>3.8918960399058791</v>
      </c>
      <c r="H13" s="9">
        <f t="shared" si="1"/>
        <v>3.8918960399058791</v>
      </c>
    </row>
    <row r="14" spans="1:12" x14ac:dyDescent="0.2">
      <c r="A14" s="31">
        <v>100</v>
      </c>
      <c r="B14" s="34">
        <v>295.79777999999999</v>
      </c>
      <c r="C14" s="30">
        <v>27.182759999999998</v>
      </c>
      <c r="D14" s="30">
        <v>0.98194999999999999</v>
      </c>
      <c r="E14" s="29"/>
      <c r="F14" s="29"/>
      <c r="G14" s="9">
        <f t="shared" si="0"/>
        <v>4.1979823139137862</v>
      </c>
      <c r="H14" s="9">
        <f t="shared" si="1"/>
        <v>4.1979823139137862</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7.0363654337220325</v>
      </c>
      <c r="C19" s="30">
        <f t="shared" ref="C19:C26" si="2">A19/60</f>
        <v>8.3333333333333329E-2</v>
      </c>
      <c r="F19" s="29"/>
      <c r="G19" s="29"/>
      <c r="H19" s="29"/>
    </row>
    <row r="20" spans="1:8" x14ac:dyDescent="0.2">
      <c r="A20" s="29">
        <v>10</v>
      </c>
      <c r="B20" s="29">
        <f t="shared" ref="B20:B26" si="3">$B$11/($C$11+A20)^$D$11</f>
        <v>6.1816435930704063</v>
      </c>
      <c r="C20" s="30">
        <f t="shared" si="2"/>
        <v>0.16666666666666666</v>
      </c>
      <c r="F20" s="29"/>
      <c r="G20" s="29"/>
      <c r="H20" s="29"/>
    </row>
    <row r="21" spans="1:8" x14ac:dyDescent="0.2">
      <c r="A21" s="29">
        <v>30</v>
      </c>
      <c r="B21" s="29">
        <f t="shared" si="3"/>
        <v>4.1565381296450221</v>
      </c>
      <c r="C21" s="30">
        <f t="shared" si="2"/>
        <v>0.5</v>
      </c>
      <c r="F21" s="29"/>
      <c r="G21" s="29"/>
      <c r="H21" s="29"/>
    </row>
    <row r="22" spans="1:8" x14ac:dyDescent="0.2">
      <c r="A22" s="29">
        <v>60</v>
      </c>
      <c r="B22" s="29">
        <f t="shared" si="3"/>
        <v>2.7833796610781474</v>
      </c>
      <c r="C22" s="30">
        <f t="shared" si="2"/>
        <v>1</v>
      </c>
      <c r="F22" s="29"/>
      <c r="G22" s="29"/>
      <c r="H22" s="29"/>
    </row>
    <row r="23" spans="1:8" x14ac:dyDescent="0.2">
      <c r="A23" s="29">
        <v>180</v>
      </c>
      <c r="B23" s="29">
        <f t="shared" si="3"/>
        <v>1.1944775298015387</v>
      </c>
      <c r="C23" s="30">
        <f t="shared" si="2"/>
        <v>3</v>
      </c>
      <c r="F23" s="29"/>
      <c r="G23" s="29"/>
      <c r="H23" s="29"/>
    </row>
    <row r="24" spans="1:8" x14ac:dyDescent="0.2">
      <c r="A24" s="29">
        <v>360</v>
      </c>
      <c r="B24" s="29">
        <f t="shared" si="3"/>
        <v>0.64140457755287483</v>
      </c>
      <c r="C24" s="30">
        <f t="shared" si="2"/>
        <v>6</v>
      </c>
      <c r="F24" s="29"/>
      <c r="G24" s="33"/>
      <c r="H24" s="33"/>
    </row>
    <row r="25" spans="1:8" x14ac:dyDescent="0.2">
      <c r="A25" s="29">
        <v>840</v>
      </c>
      <c r="B25" s="29">
        <f t="shared" si="3"/>
        <v>0.28586218969490151</v>
      </c>
      <c r="C25" s="30">
        <f t="shared" si="2"/>
        <v>14</v>
      </c>
      <c r="F25" s="29"/>
      <c r="G25" s="9"/>
      <c r="H25" s="9"/>
    </row>
    <row r="26" spans="1:8" x14ac:dyDescent="0.2">
      <c r="A26" s="29">
        <v>1440</v>
      </c>
      <c r="B26" s="29">
        <f t="shared" si="3"/>
        <v>0.16842362269145425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457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4577"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148</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251.98388</v>
      </c>
      <c r="C9" s="30">
        <v>33.756630000000001</v>
      </c>
      <c r="D9" s="30">
        <v>1.0240499999999999</v>
      </c>
      <c r="E9" s="29"/>
      <c r="F9" s="29"/>
      <c r="G9" s="9">
        <f t="shared" ref="G9:G14" si="0">B9/(C9+$D$4)^D9</f>
        <v>2.7376901287783415</v>
      </c>
      <c r="H9" s="9">
        <f t="shared" ref="H9:H14" si="1">B9/(C9+$D$5)^D9</f>
        <v>2.7376901287783415</v>
      </c>
      <c r="J9" s="29"/>
      <c r="K9" s="29"/>
      <c r="L9" s="30"/>
    </row>
    <row r="10" spans="1:12" x14ac:dyDescent="0.2">
      <c r="A10" s="31">
        <v>5</v>
      </c>
      <c r="B10" s="34">
        <v>262.87945999999999</v>
      </c>
      <c r="C10" s="30">
        <v>32.09639</v>
      </c>
      <c r="D10" s="30">
        <v>1.0135099999999999</v>
      </c>
      <c r="E10" s="29"/>
      <c r="F10" s="29"/>
      <c r="G10" s="9">
        <f t="shared" si="0"/>
        <v>3.0542275043656746</v>
      </c>
      <c r="H10" s="9">
        <f t="shared" si="1"/>
        <v>3.0542275043656746</v>
      </c>
      <c r="J10" s="29"/>
      <c r="K10" s="29"/>
      <c r="L10" s="30"/>
    </row>
    <row r="11" spans="1:12" x14ac:dyDescent="0.2">
      <c r="A11" s="31">
        <v>10</v>
      </c>
      <c r="B11" s="34">
        <v>270.85088000000002</v>
      </c>
      <c r="C11" s="30">
        <v>30.90869</v>
      </c>
      <c r="D11" s="30">
        <v>1.00587</v>
      </c>
      <c r="E11" s="29"/>
      <c r="F11" s="29"/>
      <c r="G11" s="35">
        <f t="shared" si="0"/>
        <v>3.3029684109277011</v>
      </c>
      <c r="H11" s="118">
        <f t="shared" si="1"/>
        <v>3.3029684109277011</v>
      </c>
      <c r="J11" s="29"/>
      <c r="K11" s="29"/>
      <c r="L11" s="30"/>
    </row>
    <row r="12" spans="1:12" x14ac:dyDescent="0.2">
      <c r="A12" s="31">
        <v>25</v>
      </c>
      <c r="B12" s="34">
        <v>282.02145000000002</v>
      </c>
      <c r="C12" s="30">
        <v>29.25788</v>
      </c>
      <c r="D12" s="30">
        <v>0.99519999999999997</v>
      </c>
      <c r="E12" s="29"/>
      <c r="F12" s="29"/>
      <c r="G12" s="9">
        <f t="shared" si="0"/>
        <v>3.6794148072115336</v>
      </c>
      <c r="H12" s="9">
        <f t="shared" si="1"/>
        <v>3.6794148072115336</v>
      </c>
      <c r="J12" s="29"/>
      <c r="K12" s="29"/>
      <c r="L12" s="30"/>
    </row>
    <row r="13" spans="1:12" x14ac:dyDescent="0.2">
      <c r="A13" s="31">
        <v>50</v>
      </c>
      <c r="B13" s="34">
        <v>289.91899000000001</v>
      </c>
      <c r="C13" s="30">
        <v>28.07921</v>
      </c>
      <c r="D13" s="30">
        <v>0.98763000000000001</v>
      </c>
      <c r="E13" s="29"/>
      <c r="F13" s="29"/>
      <c r="G13" s="9">
        <f t="shared" si="0"/>
        <v>3.9684059342613685</v>
      </c>
      <c r="H13" s="9">
        <f t="shared" si="1"/>
        <v>3.9684059342613685</v>
      </c>
    </row>
    <row r="14" spans="1:12" x14ac:dyDescent="0.2">
      <c r="A14" s="31">
        <v>100</v>
      </c>
      <c r="B14" s="34">
        <v>297.13936999999999</v>
      </c>
      <c r="C14" s="30">
        <v>26.972190000000001</v>
      </c>
      <c r="D14" s="30">
        <v>0.98063999999999996</v>
      </c>
      <c r="E14" s="29"/>
      <c r="F14" s="29"/>
      <c r="G14" s="9">
        <f t="shared" si="0"/>
        <v>4.2525537980333574</v>
      </c>
      <c r="H14" s="9">
        <f t="shared" si="1"/>
        <v>4.2525537980333574</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7.3858701446500135</v>
      </c>
      <c r="C19" s="30">
        <f t="shared" ref="C19:C26" si="2">A19/60</f>
        <v>8.3333333333333329E-2</v>
      </c>
      <c r="F19" s="29"/>
      <c r="G19" s="29"/>
      <c r="H19" s="29"/>
    </row>
    <row r="20" spans="1:8" x14ac:dyDescent="0.2">
      <c r="A20" s="29">
        <v>10</v>
      </c>
      <c r="B20" s="29">
        <f t="shared" ref="B20:B26" si="3">$B$11/($C$11+A20)^$D$11</f>
        <v>6.478184625171779</v>
      </c>
      <c r="C20" s="30">
        <f t="shared" si="2"/>
        <v>0.16666666666666666</v>
      </c>
      <c r="F20" s="29"/>
      <c r="G20" s="29"/>
      <c r="H20" s="29"/>
    </row>
    <row r="21" spans="1:8" x14ac:dyDescent="0.2">
      <c r="A21" s="29">
        <v>30</v>
      </c>
      <c r="B21" s="29">
        <f t="shared" si="3"/>
        <v>4.3408514580934066</v>
      </c>
      <c r="C21" s="30">
        <f t="shared" si="2"/>
        <v>0.5</v>
      </c>
      <c r="F21" s="29"/>
      <c r="G21" s="29"/>
      <c r="H21" s="29"/>
    </row>
    <row r="22" spans="1:8" x14ac:dyDescent="0.2">
      <c r="A22" s="29">
        <v>60</v>
      </c>
      <c r="B22" s="29">
        <f t="shared" si="3"/>
        <v>2.901535160466282</v>
      </c>
      <c r="C22" s="30">
        <f t="shared" si="2"/>
        <v>1</v>
      </c>
      <c r="F22" s="29"/>
      <c r="G22" s="29"/>
      <c r="H22" s="29"/>
    </row>
    <row r="23" spans="1:8" x14ac:dyDescent="0.2">
      <c r="A23" s="29">
        <v>180</v>
      </c>
      <c r="B23" s="29">
        <f t="shared" si="3"/>
        <v>1.2444955333079537</v>
      </c>
      <c r="C23" s="30">
        <f t="shared" si="2"/>
        <v>3</v>
      </c>
      <c r="F23" s="29"/>
      <c r="G23" s="29"/>
      <c r="H23" s="29"/>
    </row>
    <row r="24" spans="1:8" x14ac:dyDescent="0.2">
      <c r="A24" s="29">
        <v>360</v>
      </c>
      <c r="B24" s="29">
        <f t="shared" si="3"/>
        <v>0.66902052810001988</v>
      </c>
      <c r="C24" s="30">
        <f t="shared" si="2"/>
        <v>6</v>
      </c>
      <c r="F24" s="29"/>
      <c r="G24" s="33"/>
      <c r="H24" s="33"/>
    </row>
    <row r="25" spans="1:8" x14ac:dyDescent="0.2">
      <c r="A25" s="29">
        <v>840</v>
      </c>
      <c r="B25" s="29">
        <f t="shared" si="3"/>
        <v>0.29888215619972147</v>
      </c>
      <c r="C25" s="30">
        <f t="shared" si="2"/>
        <v>14</v>
      </c>
      <c r="F25" s="29"/>
      <c r="G25" s="9"/>
      <c r="H25" s="9"/>
    </row>
    <row r="26" spans="1:8" x14ac:dyDescent="0.2">
      <c r="A26" s="29">
        <v>1440</v>
      </c>
      <c r="B26" s="29">
        <f t="shared" si="3"/>
        <v>0.17642121514773765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560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5601" r:id="rId4"/>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149</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246.19054</v>
      </c>
      <c r="C9" s="30">
        <v>34.66534</v>
      </c>
      <c r="D9" s="30">
        <v>1.02973</v>
      </c>
      <c r="E9" s="29"/>
      <c r="F9" s="29"/>
      <c r="G9" s="9">
        <f t="shared" ref="G9:G14" si="0">B9/(C9+$D$4)^D9</f>
        <v>2.5793265117053532</v>
      </c>
      <c r="H9" s="9">
        <f t="shared" ref="H9:H14" si="1">B9/(C9+$D$5)^D9</f>
        <v>2.5793265117053532</v>
      </c>
      <c r="J9" s="29"/>
      <c r="K9" s="29"/>
      <c r="L9" s="30"/>
    </row>
    <row r="10" spans="1:12" x14ac:dyDescent="0.2">
      <c r="A10" s="31">
        <v>5</v>
      </c>
      <c r="B10" s="34">
        <v>261.15915999999999</v>
      </c>
      <c r="C10" s="30">
        <v>32.355730000000001</v>
      </c>
      <c r="D10" s="30">
        <v>1.0151699999999999</v>
      </c>
      <c r="E10" s="29"/>
      <c r="F10" s="29"/>
      <c r="G10" s="9">
        <f t="shared" si="0"/>
        <v>3.0024341363023797</v>
      </c>
      <c r="H10" s="9">
        <f t="shared" si="1"/>
        <v>3.0024341363023797</v>
      </c>
      <c r="J10" s="29"/>
      <c r="K10" s="29"/>
      <c r="L10" s="30"/>
    </row>
    <row r="11" spans="1:12" x14ac:dyDescent="0.2">
      <c r="A11" s="31">
        <v>10</v>
      </c>
      <c r="B11" s="34">
        <v>270.24815000000001</v>
      </c>
      <c r="C11" s="30">
        <v>30.998100000000001</v>
      </c>
      <c r="D11" s="30">
        <v>1.0064500000000001</v>
      </c>
      <c r="E11" s="29"/>
      <c r="F11" s="29"/>
      <c r="G11" s="35">
        <f t="shared" si="0"/>
        <v>3.2835575687363745</v>
      </c>
      <c r="H11" s="118">
        <f t="shared" si="1"/>
        <v>3.2835575687363745</v>
      </c>
      <c r="J11" s="29"/>
      <c r="K11" s="29"/>
      <c r="L11" s="30"/>
    </row>
    <row r="12" spans="1:12" x14ac:dyDescent="0.2">
      <c r="A12" s="31">
        <v>25</v>
      </c>
      <c r="B12" s="34">
        <v>281.57326999999998</v>
      </c>
      <c r="C12" s="30">
        <v>29.324300000000001</v>
      </c>
      <c r="D12" s="30">
        <v>0.99563000000000001</v>
      </c>
      <c r="E12" s="29"/>
      <c r="F12" s="29"/>
      <c r="G12" s="9">
        <f t="shared" si="0"/>
        <v>3.6635912354043394</v>
      </c>
      <c r="H12" s="9">
        <f t="shared" si="1"/>
        <v>3.6635912354043394</v>
      </c>
      <c r="J12" s="29"/>
      <c r="K12" s="29"/>
      <c r="L12" s="30"/>
    </row>
    <row r="13" spans="1:12" x14ac:dyDescent="0.2">
      <c r="A13" s="31">
        <v>50</v>
      </c>
      <c r="B13" s="34">
        <v>289.32177999999999</v>
      </c>
      <c r="C13" s="30">
        <v>28.169709999999998</v>
      </c>
      <c r="D13" s="30">
        <v>0.98821000000000003</v>
      </c>
      <c r="E13" s="29"/>
      <c r="F13" s="29"/>
      <c r="G13" s="9">
        <f t="shared" si="0"/>
        <v>3.9456864010547785</v>
      </c>
      <c r="H13" s="9">
        <f t="shared" si="1"/>
        <v>3.9456864010547785</v>
      </c>
    </row>
    <row r="14" spans="1:12" x14ac:dyDescent="0.2">
      <c r="A14" s="31">
        <v>100</v>
      </c>
      <c r="B14" s="34">
        <v>296.25407000000001</v>
      </c>
      <c r="C14" s="30">
        <v>27.111529999999998</v>
      </c>
      <c r="D14" s="30">
        <v>0.98150000000000004</v>
      </c>
      <c r="E14" s="29"/>
      <c r="F14" s="29"/>
      <c r="G14" s="9">
        <f t="shared" si="0"/>
        <v>4.2165335368753292</v>
      </c>
      <c r="H14" s="9">
        <f t="shared" si="1"/>
        <v>4.2165335368753292</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7.3357605569805679</v>
      </c>
      <c r="C19" s="30">
        <f t="shared" ref="C19:C26" si="2">A19/60</f>
        <v>8.3333333333333329E-2</v>
      </c>
      <c r="F19" s="29"/>
      <c r="G19" s="29"/>
      <c r="H19" s="29"/>
    </row>
    <row r="20" spans="1:8" x14ac:dyDescent="0.2">
      <c r="A20" s="29">
        <v>10</v>
      </c>
      <c r="B20" s="29">
        <f t="shared" ref="B20:B26" si="3">$B$11/($C$11+A20)^$D$11</f>
        <v>6.4357130686916602</v>
      </c>
      <c r="C20" s="30">
        <f t="shared" si="2"/>
        <v>0.16666666666666666</v>
      </c>
      <c r="F20" s="29"/>
      <c r="G20" s="29"/>
      <c r="H20" s="29"/>
    </row>
    <row r="21" spans="1:8" x14ac:dyDescent="0.2">
      <c r="A21" s="29">
        <v>30</v>
      </c>
      <c r="B21" s="29">
        <f t="shared" si="3"/>
        <v>4.3145065422964555</v>
      </c>
      <c r="C21" s="30">
        <f t="shared" si="2"/>
        <v>0.5</v>
      </c>
      <c r="F21" s="29"/>
      <c r="G21" s="29"/>
      <c r="H21" s="29"/>
    </row>
    <row r="22" spans="1:8" x14ac:dyDescent="0.2">
      <c r="A22" s="29">
        <v>60</v>
      </c>
      <c r="B22" s="29">
        <f t="shared" si="3"/>
        <v>2.8846600940320966</v>
      </c>
      <c r="C22" s="30">
        <f t="shared" si="2"/>
        <v>1</v>
      </c>
      <c r="F22" s="29"/>
      <c r="G22" s="29"/>
      <c r="H22" s="29"/>
    </row>
    <row r="23" spans="1:8" x14ac:dyDescent="0.2">
      <c r="A23" s="29">
        <v>180</v>
      </c>
      <c r="B23" s="29">
        <f t="shared" si="3"/>
        <v>1.2373500735152752</v>
      </c>
      <c r="C23" s="30">
        <f t="shared" si="2"/>
        <v>3</v>
      </c>
      <c r="F23" s="29"/>
      <c r="G23" s="29"/>
      <c r="H23" s="29"/>
    </row>
    <row r="24" spans="1:8" x14ac:dyDescent="0.2">
      <c r="A24" s="29">
        <v>360</v>
      </c>
      <c r="B24" s="29">
        <f t="shared" si="3"/>
        <v>0.66507183468657949</v>
      </c>
      <c r="C24" s="30">
        <f t="shared" si="2"/>
        <v>6</v>
      </c>
      <c r="F24" s="29"/>
      <c r="G24" s="33"/>
      <c r="H24" s="33"/>
    </row>
    <row r="25" spans="1:8" x14ac:dyDescent="0.2">
      <c r="A25" s="29">
        <v>840</v>
      </c>
      <c r="B25" s="29">
        <f t="shared" si="3"/>
        <v>0.2970177549031327</v>
      </c>
      <c r="C25" s="30">
        <f t="shared" si="2"/>
        <v>14</v>
      </c>
      <c r="F25" s="29"/>
      <c r="G25" s="9"/>
      <c r="H25" s="9"/>
    </row>
    <row r="26" spans="1:8" x14ac:dyDescent="0.2">
      <c r="A26" s="29">
        <v>1440</v>
      </c>
      <c r="B26" s="29">
        <f t="shared" si="3"/>
        <v>0.17527481595127006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662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6625" r:id="rId4"/>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150</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248.79152999999999</v>
      </c>
      <c r="C9" s="30">
        <v>34.255389999999998</v>
      </c>
      <c r="D9" s="30">
        <v>1.02718</v>
      </c>
      <c r="E9" s="29"/>
      <c r="F9" s="29"/>
      <c r="G9" s="9">
        <f t="shared" ref="G9:G14" si="0">B9/(C9+$D$4)^D9</f>
        <v>2.6495010352450405</v>
      </c>
      <c r="H9" s="9">
        <f t="shared" ref="H9:H14" si="1">B9/(C9+$D$5)^D9</f>
        <v>2.6495010352450405</v>
      </c>
      <c r="J9" s="29"/>
      <c r="K9" s="29"/>
      <c r="L9" s="30"/>
    </row>
    <row r="10" spans="1:12" x14ac:dyDescent="0.2">
      <c r="A10" s="31">
        <v>5</v>
      </c>
      <c r="B10" s="34">
        <v>263.71406000000002</v>
      </c>
      <c r="C10" s="30">
        <v>31.971609999999998</v>
      </c>
      <c r="D10" s="30">
        <v>1.01271</v>
      </c>
      <c r="E10" s="29"/>
      <c r="F10" s="29"/>
      <c r="G10" s="9">
        <f t="shared" si="0"/>
        <v>3.0795156521226823</v>
      </c>
      <c r="H10" s="9">
        <f t="shared" si="1"/>
        <v>3.0795156521226823</v>
      </c>
      <c r="J10" s="29"/>
      <c r="K10" s="29"/>
      <c r="L10" s="30"/>
    </row>
    <row r="11" spans="1:12" x14ac:dyDescent="0.2">
      <c r="A11" s="31">
        <v>10</v>
      </c>
      <c r="B11" s="34">
        <v>272.73104999999998</v>
      </c>
      <c r="C11" s="30">
        <v>30.63053</v>
      </c>
      <c r="D11" s="30">
        <v>1.0040800000000001</v>
      </c>
      <c r="E11" s="29"/>
      <c r="F11" s="29"/>
      <c r="G11" s="35">
        <f t="shared" si="0"/>
        <v>3.3638364480867846</v>
      </c>
      <c r="H11" s="118">
        <f t="shared" si="1"/>
        <v>3.3638364480867846</v>
      </c>
      <c r="J11" s="29"/>
      <c r="K11" s="29"/>
      <c r="L11" s="30"/>
    </row>
    <row r="12" spans="1:12" x14ac:dyDescent="0.2">
      <c r="A12" s="31">
        <v>25</v>
      </c>
      <c r="B12" s="34">
        <v>284.08978999999999</v>
      </c>
      <c r="C12" s="30">
        <v>28.951280000000001</v>
      </c>
      <c r="D12" s="30">
        <v>0.99322999999999995</v>
      </c>
      <c r="E12" s="29"/>
      <c r="F12" s="29"/>
      <c r="G12" s="9">
        <f t="shared" si="0"/>
        <v>3.7529747957049042</v>
      </c>
      <c r="H12" s="9">
        <f t="shared" si="1"/>
        <v>3.7529747957049042</v>
      </c>
      <c r="J12" s="29"/>
      <c r="K12" s="29"/>
      <c r="L12" s="30"/>
    </row>
    <row r="13" spans="1:12" x14ac:dyDescent="0.2">
      <c r="A13" s="31">
        <v>50</v>
      </c>
      <c r="B13" s="34">
        <v>291.79401000000001</v>
      </c>
      <c r="C13" s="30">
        <v>27.79608</v>
      </c>
      <c r="D13" s="30">
        <v>0.98582999999999998</v>
      </c>
      <c r="E13" s="29"/>
      <c r="F13" s="29"/>
      <c r="G13" s="9">
        <f t="shared" si="0"/>
        <v>4.0400591399508361</v>
      </c>
      <c r="H13" s="9">
        <f t="shared" si="1"/>
        <v>4.0400591399508361</v>
      </c>
    </row>
    <row r="14" spans="1:12" x14ac:dyDescent="0.2">
      <c r="A14" s="31">
        <v>100</v>
      </c>
      <c r="B14" s="34">
        <v>298.59854000000001</v>
      </c>
      <c r="C14" s="30">
        <v>26.744620000000001</v>
      </c>
      <c r="D14" s="30">
        <v>0.97921000000000002</v>
      </c>
      <c r="E14" s="29"/>
      <c r="F14" s="29"/>
      <c r="G14" s="9">
        <f t="shared" si="0"/>
        <v>4.3126310162178223</v>
      </c>
      <c r="H14" s="9">
        <f t="shared" si="1"/>
        <v>4.3126310162178223</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7.5436384788001485</v>
      </c>
      <c r="C19" s="30">
        <f t="shared" ref="C19:C26" si="2">A19/60</f>
        <v>8.3333333333333329E-2</v>
      </c>
      <c r="F19" s="29"/>
      <c r="G19" s="29"/>
      <c r="H19" s="29"/>
    </row>
    <row r="20" spans="1:8" x14ac:dyDescent="0.2">
      <c r="A20" s="29">
        <v>10</v>
      </c>
      <c r="B20" s="29">
        <f t="shared" ref="B20:B26" si="3">$B$11/($C$11+A20)^$D$11</f>
        <v>6.61177367336846</v>
      </c>
      <c r="C20" s="30">
        <f t="shared" si="2"/>
        <v>0.16666666666666666</v>
      </c>
      <c r="F20" s="29"/>
      <c r="G20" s="29"/>
      <c r="H20" s="29"/>
    </row>
    <row r="21" spans="1:8" x14ac:dyDescent="0.2">
      <c r="A21" s="29">
        <v>30</v>
      </c>
      <c r="B21" s="29">
        <f t="shared" si="3"/>
        <v>4.423538781396342</v>
      </c>
      <c r="C21" s="30">
        <f t="shared" si="2"/>
        <v>0.5</v>
      </c>
      <c r="F21" s="29"/>
      <c r="G21" s="29"/>
      <c r="H21" s="29"/>
    </row>
    <row r="22" spans="1:8" x14ac:dyDescent="0.2">
      <c r="A22" s="29">
        <v>60</v>
      </c>
      <c r="B22" s="29">
        <f t="shared" si="3"/>
        <v>2.9544346268887773</v>
      </c>
      <c r="C22" s="30">
        <f t="shared" si="2"/>
        <v>1</v>
      </c>
      <c r="F22" s="29"/>
      <c r="G22" s="29"/>
      <c r="H22" s="29"/>
    </row>
    <row r="23" spans="1:8" x14ac:dyDescent="0.2">
      <c r="A23" s="29">
        <v>180</v>
      </c>
      <c r="B23" s="29">
        <f t="shared" si="3"/>
        <v>1.2668736316600724</v>
      </c>
      <c r="C23" s="30">
        <f t="shared" si="2"/>
        <v>3</v>
      </c>
      <c r="F23" s="29"/>
      <c r="G23" s="29"/>
      <c r="H23" s="29"/>
    </row>
    <row r="24" spans="1:8" x14ac:dyDescent="0.2">
      <c r="A24" s="29">
        <v>360</v>
      </c>
      <c r="B24" s="29">
        <f t="shared" si="3"/>
        <v>0.68138723861352424</v>
      </c>
      <c r="C24" s="30">
        <f t="shared" si="2"/>
        <v>6</v>
      </c>
      <c r="F24" s="29"/>
      <c r="G24" s="33"/>
      <c r="H24" s="33"/>
    </row>
    <row r="25" spans="1:8" x14ac:dyDescent="0.2">
      <c r="A25" s="29">
        <v>840</v>
      </c>
      <c r="B25" s="29">
        <f t="shared" si="3"/>
        <v>0.3047236557764948</v>
      </c>
      <c r="C25" s="30">
        <f t="shared" si="2"/>
        <v>14</v>
      </c>
      <c r="F25" s="29"/>
      <c r="G25" s="9"/>
      <c r="H25" s="9"/>
    </row>
    <row r="26" spans="1:8" x14ac:dyDescent="0.2">
      <c r="A26" s="29">
        <v>1440</v>
      </c>
      <c r="B26" s="29">
        <f t="shared" si="3"/>
        <v>0.18001454301546113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740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7409" r:id="rId4"/>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151</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244.34492</v>
      </c>
      <c r="C9" s="30">
        <v>34.958060000000003</v>
      </c>
      <c r="D9" s="30">
        <v>1.03155</v>
      </c>
      <c r="E9" s="29"/>
      <c r="F9" s="29"/>
      <c r="G9" s="9">
        <f t="shared" ref="G9:G14" si="0">B9/(C9+$D$4)^D9</f>
        <v>2.5303155223713429</v>
      </c>
      <c r="H9" s="9">
        <f t="shared" ref="H9:H14" si="1">B9/(C9+$D$5)^D9</f>
        <v>2.5303155223713429</v>
      </c>
      <c r="J9" s="29"/>
      <c r="K9" s="29"/>
      <c r="L9" s="30"/>
    </row>
    <row r="10" spans="1:12" x14ac:dyDescent="0.2">
      <c r="A10" s="31">
        <v>5</v>
      </c>
      <c r="B10" s="34">
        <v>258.50572</v>
      </c>
      <c r="C10" s="30">
        <v>32.756839999999997</v>
      </c>
      <c r="D10" s="30">
        <v>1.01773</v>
      </c>
      <c r="E10" s="29"/>
      <c r="F10" s="29"/>
      <c r="G10" s="9">
        <f t="shared" si="0"/>
        <v>2.9239781272835148</v>
      </c>
      <c r="H10" s="9">
        <f t="shared" si="1"/>
        <v>2.9239781272835148</v>
      </c>
      <c r="J10" s="29"/>
      <c r="K10" s="29"/>
      <c r="L10" s="30"/>
    </row>
    <row r="11" spans="1:12" x14ac:dyDescent="0.2">
      <c r="A11" s="31">
        <v>10</v>
      </c>
      <c r="B11" s="34">
        <v>267.54246999999998</v>
      </c>
      <c r="C11" s="30">
        <v>31.39986</v>
      </c>
      <c r="D11" s="30">
        <v>1.0090399999999999</v>
      </c>
      <c r="E11" s="29"/>
      <c r="F11" s="29"/>
      <c r="G11" s="35">
        <f t="shared" si="0"/>
        <v>3.1977943309000421</v>
      </c>
      <c r="H11" s="118">
        <f t="shared" si="1"/>
        <v>3.1977943309000421</v>
      </c>
      <c r="J11" s="29"/>
      <c r="K11" s="29"/>
      <c r="L11" s="30"/>
    </row>
    <row r="12" spans="1:12" x14ac:dyDescent="0.2">
      <c r="A12" s="31">
        <v>25</v>
      </c>
      <c r="B12" s="34">
        <v>279.77346</v>
      </c>
      <c r="C12" s="30">
        <v>29.590430000000001</v>
      </c>
      <c r="D12" s="30">
        <v>0.99734999999999996</v>
      </c>
      <c r="E12" s="29"/>
      <c r="F12" s="29"/>
      <c r="G12" s="9">
        <f t="shared" si="0"/>
        <v>3.6007707053011386</v>
      </c>
      <c r="H12" s="9">
        <f t="shared" si="1"/>
        <v>3.6007707053011386</v>
      </c>
      <c r="J12" s="29"/>
      <c r="K12" s="29"/>
      <c r="L12" s="30"/>
    </row>
    <row r="13" spans="1:12" x14ac:dyDescent="0.2">
      <c r="A13" s="31">
        <v>50</v>
      </c>
      <c r="B13" s="34">
        <v>288.71309000000002</v>
      </c>
      <c r="C13" s="30">
        <v>28.26125</v>
      </c>
      <c r="D13" s="30">
        <v>0.98878999999999995</v>
      </c>
      <c r="E13" s="29"/>
      <c r="F13" s="29"/>
      <c r="G13" s="9">
        <f t="shared" si="0"/>
        <v>3.9228720262828318</v>
      </c>
      <c r="H13" s="9">
        <f t="shared" si="1"/>
        <v>3.9228720262828318</v>
      </c>
    </row>
    <row r="14" spans="1:12" x14ac:dyDescent="0.2">
      <c r="A14" s="31">
        <v>100</v>
      </c>
      <c r="B14" s="34">
        <v>296.66217</v>
      </c>
      <c r="C14" s="30">
        <v>27.048590000000001</v>
      </c>
      <c r="D14" s="30">
        <v>0.98111000000000004</v>
      </c>
      <c r="E14" s="29"/>
      <c r="F14" s="29"/>
      <c r="G14" s="9">
        <f t="shared" si="0"/>
        <v>4.2329158933077728</v>
      </c>
      <c r="H14" s="9">
        <f t="shared" si="1"/>
        <v>4.2329158933077728</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7.115094581123488</v>
      </c>
      <c r="C19" s="30">
        <f t="shared" ref="C19:C26" si="2">A19/60</f>
        <v>8.3333333333333329E-2</v>
      </c>
      <c r="F19" s="29"/>
      <c r="G19" s="29"/>
      <c r="H19" s="29"/>
    </row>
    <row r="20" spans="1:8" x14ac:dyDescent="0.2">
      <c r="A20" s="29">
        <v>10</v>
      </c>
      <c r="B20" s="29">
        <f t="shared" ref="B20:B26" si="3">$B$11/($C$11+A20)^$D$11</f>
        <v>6.2485059821280773</v>
      </c>
      <c r="C20" s="30">
        <f t="shared" si="2"/>
        <v>0.16666666666666666</v>
      </c>
      <c r="F20" s="29"/>
      <c r="G20" s="29"/>
      <c r="H20" s="29"/>
    </row>
    <row r="21" spans="1:8" x14ac:dyDescent="0.2">
      <c r="A21" s="29">
        <v>30</v>
      </c>
      <c r="B21" s="29">
        <f t="shared" si="3"/>
        <v>4.198172874567808</v>
      </c>
      <c r="C21" s="30">
        <f t="shared" si="2"/>
        <v>0.5</v>
      </c>
      <c r="F21" s="29"/>
      <c r="G21" s="29"/>
      <c r="H21" s="29"/>
    </row>
    <row r="22" spans="1:8" x14ac:dyDescent="0.2">
      <c r="A22" s="29">
        <v>60</v>
      </c>
      <c r="B22" s="29">
        <f t="shared" si="3"/>
        <v>2.8100901595511432</v>
      </c>
      <c r="C22" s="30">
        <f t="shared" si="2"/>
        <v>1</v>
      </c>
      <c r="F22" s="29"/>
      <c r="G22" s="29"/>
      <c r="H22" s="29"/>
    </row>
    <row r="23" spans="1:8" x14ac:dyDescent="0.2">
      <c r="A23" s="29">
        <v>180</v>
      </c>
      <c r="B23" s="29">
        <f t="shared" si="3"/>
        <v>1.2057828163566204</v>
      </c>
      <c r="C23" s="30">
        <f t="shared" si="2"/>
        <v>3</v>
      </c>
      <c r="F23" s="29"/>
      <c r="G23" s="29"/>
      <c r="H23" s="29"/>
    </row>
    <row r="24" spans="1:8" x14ac:dyDescent="0.2">
      <c r="A24" s="29">
        <v>360</v>
      </c>
      <c r="B24" s="29">
        <f t="shared" si="3"/>
        <v>0.6476416572596696</v>
      </c>
      <c r="C24" s="30">
        <f t="shared" si="2"/>
        <v>6</v>
      </c>
      <c r="F24" s="29"/>
      <c r="G24" s="33"/>
      <c r="H24" s="33"/>
    </row>
    <row r="25" spans="1:8" x14ac:dyDescent="0.2">
      <c r="A25" s="29">
        <v>840</v>
      </c>
      <c r="B25" s="29">
        <f t="shared" si="3"/>
        <v>0.28879899683038818</v>
      </c>
      <c r="C25" s="30">
        <f t="shared" si="2"/>
        <v>14</v>
      </c>
      <c r="F25" s="29"/>
      <c r="G25" s="9"/>
      <c r="H25" s="9"/>
    </row>
    <row r="26" spans="1:8" x14ac:dyDescent="0.2">
      <c r="A26" s="29">
        <v>1440</v>
      </c>
      <c r="B26" s="29">
        <f t="shared" si="3"/>
        <v>0.17022593810573969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843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8433" r:id="rId4"/>
      </mc:Fallback>
    </mc:AlternateContent>
  </oleObjec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152</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245.97253000000001</v>
      </c>
      <c r="C9" s="30">
        <v>34.698950000000004</v>
      </c>
      <c r="D9" s="30">
        <v>1.0299400000000001</v>
      </c>
      <c r="E9" s="29"/>
      <c r="F9" s="29"/>
      <c r="G9" s="9">
        <f t="shared" ref="G9:G14" si="0">B9/(C9+$D$4)^D9</f>
        <v>2.5735830945418918</v>
      </c>
      <c r="H9" s="9">
        <f t="shared" ref="H9:H14" si="1">B9/(C9+$D$5)^D9</f>
        <v>2.5735830945418918</v>
      </c>
      <c r="J9" s="29"/>
      <c r="K9" s="29"/>
      <c r="L9" s="30"/>
    </row>
    <row r="10" spans="1:12" x14ac:dyDescent="0.2">
      <c r="A10" s="31">
        <v>5</v>
      </c>
      <c r="B10" s="34">
        <v>259.11354999999998</v>
      </c>
      <c r="C10" s="30">
        <v>32.664630000000002</v>
      </c>
      <c r="D10" s="30">
        <v>1.0171399999999999</v>
      </c>
      <c r="E10" s="29"/>
      <c r="F10" s="29"/>
      <c r="G10" s="9">
        <f t="shared" si="0"/>
        <v>2.9418528120224607</v>
      </c>
      <c r="H10" s="9">
        <f t="shared" si="1"/>
        <v>2.9418528120224607</v>
      </c>
      <c r="J10" s="29"/>
      <c r="K10" s="29"/>
      <c r="L10" s="30"/>
    </row>
    <row r="11" spans="1:12" x14ac:dyDescent="0.2">
      <c r="A11" s="31">
        <v>10</v>
      </c>
      <c r="B11" s="34">
        <v>267.80932999999999</v>
      </c>
      <c r="C11" s="30">
        <v>31.36009</v>
      </c>
      <c r="D11" s="30">
        <v>1.00878</v>
      </c>
      <c r="E11" s="29"/>
      <c r="F11" s="29"/>
      <c r="G11" s="35">
        <f t="shared" si="0"/>
        <v>3.2062369516893283</v>
      </c>
      <c r="H11" s="118">
        <f t="shared" si="1"/>
        <v>3.2062369516893283</v>
      </c>
      <c r="J11" s="29"/>
      <c r="K11" s="29"/>
      <c r="L11" s="30"/>
    </row>
    <row r="12" spans="1:12" x14ac:dyDescent="0.2">
      <c r="A12" s="31">
        <v>25</v>
      </c>
      <c r="B12" s="34">
        <v>280.16379000000001</v>
      </c>
      <c r="C12" s="30">
        <v>29.53274</v>
      </c>
      <c r="D12" s="30">
        <v>0.99697999999999998</v>
      </c>
      <c r="E12" s="29"/>
      <c r="F12" s="29"/>
      <c r="G12" s="9">
        <f t="shared" si="0"/>
        <v>3.6142664950503067</v>
      </c>
      <c r="H12" s="9">
        <f t="shared" si="1"/>
        <v>3.6142664950503067</v>
      </c>
      <c r="J12" s="29"/>
      <c r="K12" s="29"/>
      <c r="L12" s="30"/>
    </row>
    <row r="13" spans="1:12" x14ac:dyDescent="0.2">
      <c r="A13" s="31">
        <v>50</v>
      </c>
      <c r="B13" s="34">
        <v>288.48608999999999</v>
      </c>
      <c r="C13" s="30">
        <v>28.29513</v>
      </c>
      <c r="D13" s="30">
        <v>0.98900999999999994</v>
      </c>
      <c r="E13" s="29"/>
      <c r="F13" s="29"/>
      <c r="G13" s="9">
        <f t="shared" si="0"/>
        <v>3.9143431604655192</v>
      </c>
      <c r="H13" s="9">
        <f t="shared" si="1"/>
        <v>3.9143431604655192</v>
      </c>
    </row>
    <row r="14" spans="1:12" x14ac:dyDescent="0.2">
      <c r="A14" s="31">
        <v>100</v>
      </c>
      <c r="B14" s="34">
        <v>296.13357000000002</v>
      </c>
      <c r="C14" s="30">
        <v>27.129909999999999</v>
      </c>
      <c r="D14" s="30">
        <v>0.98162000000000005</v>
      </c>
      <c r="E14" s="29"/>
      <c r="F14" s="29"/>
      <c r="G14" s="9">
        <f t="shared" si="0"/>
        <v>4.2116296323311797</v>
      </c>
      <c r="H14" s="9">
        <f t="shared" si="1"/>
        <v>4.2116296323311797</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7.1367168495865396</v>
      </c>
      <c r="C19" s="30">
        <f t="shared" ref="C19:C26" si="2">A19/60</f>
        <v>8.3333333333333329E-2</v>
      </c>
      <c r="F19" s="29"/>
      <c r="G19" s="29"/>
      <c r="H19" s="29"/>
    </row>
    <row r="20" spans="1:8" x14ac:dyDescent="0.2">
      <c r="A20" s="29">
        <v>10</v>
      </c>
      <c r="B20" s="29">
        <f t="shared" ref="B20:B26" si="3">$B$11/($C$11+A20)^$D$11</f>
        <v>6.2668693756496614</v>
      </c>
      <c r="C20" s="30">
        <f t="shared" si="2"/>
        <v>0.16666666666666666</v>
      </c>
      <c r="F20" s="29"/>
      <c r="G20" s="29"/>
      <c r="H20" s="29"/>
    </row>
    <row r="21" spans="1:8" x14ac:dyDescent="0.2">
      <c r="A21" s="29">
        <v>30</v>
      </c>
      <c r="B21" s="29">
        <f t="shared" si="3"/>
        <v>4.2096120709196043</v>
      </c>
      <c r="C21" s="30">
        <f t="shared" si="2"/>
        <v>0.5</v>
      </c>
      <c r="F21" s="29"/>
      <c r="G21" s="29"/>
      <c r="H21" s="29"/>
    </row>
    <row r="22" spans="1:8" x14ac:dyDescent="0.2">
      <c r="A22" s="29">
        <v>60</v>
      </c>
      <c r="B22" s="29">
        <f t="shared" si="3"/>
        <v>2.8174339401800967</v>
      </c>
      <c r="C22" s="30">
        <f t="shared" si="2"/>
        <v>1</v>
      </c>
      <c r="F22" s="29"/>
      <c r="G22" s="29"/>
      <c r="H22" s="29"/>
    </row>
    <row r="23" spans="1:8" x14ac:dyDescent="0.2">
      <c r="A23" s="29">
        <v>180</v>
      </c>
      <c r="B23" s="29">
        <f t="shared" si="3"/>
        <v>1.2088962098487031</v>
      </c>
      <c r="C23" s="30">
        <f t="shared" si="2"/>
        <v>3</v>
      </c>
      <c r="F23" s="29"/>
      <c r="G23" s="29"/>
      <c r="H23" s="29"/>
    </row>
    <row r="24" spans="1:8" x14ac:dyDescent="0.2">
      <c r="A24" s="29">
        <v>360</v>
      </c>
      <c r="B24" s="29">
        <f t="shared" si="3"/>
        <v>0.64936121533142654</v>
      </c>
      <c r="C24" s="30">
        <f t="shared" si="2"/>
        <v>6</v>
      </c>
      <c r="F24" s="29"/>
      <c r="G24" s="33"/>
      <c r="H24" s="33"/>
    </row>
    <row r="25" spans="1:8" x14ac:dyDescent="0.2">
      <c r="A25" s="29">
        <v>840</v>
      </c>
      <c r="B25" s="29">
        <f t="shared" si="3"/>
        <v>0.2896096994846758</v>
      </c>
      <c r="C25" s="30">
        <f t="shared" si="2"/>
        <v>14</v>
      </c>
      <c r="F25" s="29"/>
      <c r="G25" s="9"/>
      <c r="H25" s="9"/>
    </row>
    <row r="26" spans="1:8" x14ac:dyDescent="0.2">
      <c r="A26" s="29">
        <v>1440</v>
      </c>
      <c r="B26" s="29">
        <f t="shared" si="3"/>
        <v>0.17072383530291921</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945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9457" r:id="rId4"/>
      </mc:Fallback>
    </mc:AlternateContent>
  </oleObjec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153</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238.04742999999999</v>
      </c>
      <c r="C9" s="30">
        <v>35.976790000000001</v>
      </c>
      <c r="D9" s="30">
        <v>1.0378000000000001</v>
      </c>
      <c r="E9" s="29"/>
      <c r="F9" s="29"/>
      <c r="G9" s="9">
        <f t="shared" ref="G9:G14" si="0">B9/(C9+$D$4)^D9</f>
        <v>2.3679576159312545</v>
      </c>
      <c r="H9" s="9">
        <f t="shared" ref="H9:H14" si="1">B9/(C9+$D$5)^D9</f>
        <v>2.3679576159312545</v>
      </c>
      <c r="J9" s="29"/>
      <c r="K9" s="29"/>
      <c r="L9" s="30"/>
    </row>
    <row r="10" spans="1:12" x14ac:dyDescent="0.2">
      <c r="A10" s="31">
        <v>5</v>
      </c>
      <c r="B10" s="34">
        <v>253.07857999999999</v>
      </c>
      <c r="C10" s="30">
        <v>33.587960000000002</v>
      </c>
      <c r="D10" s="30">
        <v>1.0229900000000001</v>
      </c>
      <c r="E10" s="29"/>
      <c r="F10" s="29"/>
      <c r="G10" s="9">
        <f t="shared" si="0"/>
        <v>2.7682554089983222</v>
      </c>
      <c r="H10" s="9">
        <f t="shared" si="1"/>
        <v>2.7682554089983222</v>
      </c>
      <c r="J10" s="29"/>
      <c r="K10" s="29"/>
      <c r="L10" s="30"/>
    </row>
    <row r="11" spans="1:12" x14ac:dyDescent="0.2">
      <c r="A11" s="31">
        <v>10</v>
      </c>
      <c r="B11" s="34">
        <v>263.15904</v>
      </c>
      <c r="C11" s="30">
        <v>32.0548</v>
      </c>
      <c r="D11" s="30">
        <v>1.0132399999999999</v>
      </c>
      <c r="E11" s="29"/>
      <c r="F11" s="29"/>
      <c r="G11" s="35">
        <f t="shared" si="0"/>
        <v>3.0626979743448066</v>
      </c>
      <c r="H11" s="118">
        <f t="shared" si="1"/>
        <v>3.0626979743448066</v>
      </c>
      <c r="J11" s="29"/>
      <c r="K11" s="29"/>
      <c r="L11" s="30"/>
    </row>
    <row r="12" spans="1:12" x14ac:dyDescent="0.2">
      <c r="A12" s="31">
        <v>25</v>
      </c>
      <c r="B12" s="34">
        <v>276.21251999999998</v>
      </c>
      <c r="C12" s="30">
        <v>30.116250000000001</v>
      </c>
      <c r="D12" s="30">
        <v>1.00075</v>
      </c>
      <c r="E12" s="29"/>
      <c r="F12" s="29"/>
      <c r="G12" s="9">
        <f t="shared" si="0"/>
        <v>3.4792854737643575</v>
      </c>
      <c r="H12" s="9">
        <f t="shared" si="1"/>
        <v>3.4792854737643575</v>
      </c>
      <c r="J12" s="29"/>
      <c r="K12" s="29"/>
      <c r="L12" s="30"/>
    </row>
    <row r="13" spans="1:12" x14ac:dyDescent="0.2">
      <c r="A13" s="31">
        <v>50</v>
      </c>
      <c r="B13" s="34">
        <v>285.40821999999997</v>
      </c>
      <c r="C13" s="30">
        <v>28.755269999999999</v>
      </c>
      <c r="D13" s="30">
        <v>0.99195999999999995</v>
      </c>
      <c r="E13" s="29"/>
      <c r="F13" s="29"/>
      <c r="G13" s="9">
        <f t="shared" si="0"/>
        <v>3.8007881283887168</v>
      </c>
      <c r="H13" s="9">
        <f t="shared" si="1"/>
        <v>3.8007881283887168</v>
      </c>
    </row>
    <row r="14" spans="1:12" x14ac:dyDescent="0.2">
      <c r="A14" s="31">
        <v>100</v>
      </c>
      <c r="B14" s="34">
        <v>293.62644</v>
      </c>
      <c r="C14" s="30">
        <v>27.51709</v>
      </c>
      <c r="D14" s="30">
        <v>0.98404999999999998</v>
      </c>
      <c r="E14" s="29"/>
      <c r="F14" s="29"/>
      <c r="G14" s="9">
        <f t="shared" si="0"/>
        <v>4.1116646958005942</v>
      </c>
      <c r="H14" s="9">
        <f t="shared" si="1"/>
        <v>4.1116646958005942</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6.7702127921622806</v>
      </c>
      <c r="C19" s="30">
        <f t="shared" ref="C19:C26" si="2">A19/60</f>
        <v>8.3333333333333329E-2</v>
      </c>
      <c r="F19" s="29"/>
      <c r="G19" s="29"/>
      <c r="H19" s="29"/>
    </row>
    <row r="20" spans="1:8" x14ac:dyDescent="0.2">
      <c r="A20" s="29">
        <v>10</v>
      </c>
      <c r="B20" s="29">
        <f t="shared" ref="B20:B26" si="3">$B$11/($C$11+A20)^$D$11</f>
        <v>5.9552966984341458</v>
      </c>
      <c r="C20" s="30">
        <f t="shared" si="2"/>
        <v>0.16666666666666666</v>
      </c>
      <c r="F20" s="29"/>
      <c r="G20" s="29"/>
      <c r="H20" s="29"/>
    </row>
    <row r="21" spans="1:8" x14ac:dyDescent="0.2">
      <c r="A21" s="29">
        <v>30</v>
      </c>
      <c r="B21" s="29">
        <f t="shared" si="3"/>
        <v>4.0151943093088871</v>
      </c>
      <c r="C21" s="30">
        <f t="shared" si="2"/>
        <v>0.5</v>
      </c>
      <c r="F21" s="29"/>
      <c r="G21" s="29"/>
      <c r="H21" s="29"/>
    </row>
    <row r="22" spans="1:8" x14ac:dyDescent="0.2">
      <c r="A22" s="29">
        <v>60</v>
      </c>
      <c r="B22" s="29">
        <f t="shared" si="3"/>
        <v>2.6925754380469726</v>
      </c>
      <c r="C22" s="30">
        <f t="shared" si="2"/>
        <v>1</v>
      </c>
      <c r="F22" s="29"/>
      <c r="G22" s="29"/>
      <c r="H22" s="29"/>
    </row>
    <row r="23" spans="1:8" x14ac:dyDescent="0.2">
      <c r="A23" s="29">
        <v>180</v>
      </c>
      <c r="B23" s="29">
        <f t="shared" si="3"/>
        <v>1.1560270945363049</v>
      </c>
      <c r="C23" s="30">
        <f t="shared" si="2"/>
        <v>3</v>
      </c>
      <c r="F23" s="29"/>
      <c r="G23" s="29"/>
      <c r="H23" s="29"/>
    </row>
    <row r="24" spans="1:8" x14ac:dyDescent="0.2">
      <c r="A24" s="29">
        <v>360</v>
      </c>
      <c r="B24" s="29">
        <f t="shared" si="3"/>
        <v>0.62020549071097264</v>
      </c>
      <c r="C24" s="30">
        <f t="shared" si="2"/>
        <v>6</v>
      </c>
      <c r="F24" s="29"/>
      <c r="G24" s="33"/>
      <c r="H24" s="33"/>
    </row>
    <row r="25" spans="1:8" x14ac:dyDescent="0.2">
      <c r="A25" s="29">
        <v>840</v>
      </c>
      <c r="B25" s="29">
        <f t="shared" si="3"/>
        <v>0.2758936576910635</v>
      </c>
      <c r="C25" s="30">
        <f t="shared" si="2"/>
        <v>14</v>
      </c>
      <c r="F25" s="29"/>
      <c r="G25" s="9"/>
      <c r="H25" s="9"/>
    </row>
    <row r="26" spans="1:8" x14ac:dyDescent="0.2">
      <c r="A26" s="29">
        <v>1440</v>
      </c>
      <c r="B26" s="29">
        <f t="shared" si="3"/>
        <v>0.16231213944057798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048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0481" r:id="rId4"/>
      </mc:Fallback>
    </mc:AlternateContent>
  </oleObject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154</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249.75954999999999</v>
      </c>
      <c r="C9" s="30">
        <v>34.102699999999999</v>
      </c>
      <c r="D9" s="30">
        <v>1.02623</v>
      </c>
      <c r="E9" s="29"/>
      <c r="F9" s="29"/>
      <c r="G9" s="9">
        <f t="shared" ref="G9:G14" si="0">B9/(C9+$D$4)^D9</f>
        <v>2.6760429372196337</v>
      </c>
      <c r="H9" s="9">
        <f t="shared" ref="H9:H14" si="1">B9/(C9+$D$5)^D9</f>
        <v>2.6760429372196337</v>
      </c>
      <c r="J9" s="29"/>
      <c r="K9" s="29"/>
      <c r="L9" s="30"/>
    </row>
    <row r="10" spans="1:12" x14ac:dyDescent="0.2">
      <c r="A10" s="31">
        <v>5</v>
      </c>
      <c r="B10" s="34">
        <v>261.38427999999999</v>
      </c>
      <c r="C10" s="30">
        <v>32.321309999999997</v>
      </c>
      <c r="D10" s="30">
        <v>1.01495</v>
      </c>
      <c r="E10" s="29"/>
      <c r="F10" s="29"/>
      <c r="G10" s="9">
        <f t="shared" si="0"/>
        <v>3.0092238225901795</v>
      </c>
      <c r="H10" s="9">
        <f t="shared" si="1"/>
        <v>3.0092238225901795</v>
      </c>
      <c r="J10" s="29"/>
      <c r="K10" s="29"/>
      <c r="L10" s="30"/>
    </row>
    <row r="11" spans="1:12" x14ac:dyDescent="0.2">
      <c r="A11" s="31">
        <v>10</v>
      </c>
      <c r="B11" s="34">
        <v>269.34521000000001</v>
      </c>
      <c r="C11" s="30">
        <v>31.131879999999999</v>
      </c>
      <c r="D11" s="30">
        <v>1.0073099999999999</v>
      </c>
      <c r="E11" s="29"/>
      <c r="F11" s="29"/>
      <c r="G11" s="35">
        <f t="shared" si="0"/>
        <v>3.2547947063453435</v>
      </c>
      <c r="H11" s="118">
        <f t="shared" si="1"/>
        <v>3.2547947063453435</v>
      </c>
      <c r="J11" s="29"/>
      <c r="K11" s="29"/>
      <c r="L11" s="30"/>
    </row>
    <row r="12" spans="1:12" x14ac:dyDescent="0.2">
      <c r="A12" s="31">
        <v>25</v>
      </c>
      <c r="B12" s="34">
        <v>288.87468000000001</v>
      </c>
      <c r="C12" s="30">
        <v>29.410900000000002</v>
      </c>
      <c r="D12" s="30">
        <v>0.99619000000000002</v>
      </c>
      <c r="E12" s="29"/>
      <c r="F12" s="29"/>
      <c r="G12" s="9">
        <f t="shared" si="0"/>
        <v>3.7452984343883808</v>
      </c>
      <c r="H12" s="9">
        <f t="shared" si="1"/>
        <v>3.7452984343883808</v>
      </c>
      <c r="J12" s="29"/>
      <c r="K12" s="29"/>
      <c r="L12" s="30"/>
    </row>
    <row r="13" spans="1:12" x14ac:dyDescent="0.2">
      <c r="A13" s="31">
        <v>50</v>
      </c>
      <c r="B13" s="34">
        <v>288.87468000000001</v>
      </c>
      <c r="C13" s="30">
        <v>28.236509999999999</v>
      </c>
      <c r="D13" s="30">
        <v>0.98863999999999996</v>
      </c>
      <c r="E13" s="29"/>
      <c r="F13" s="29"/>
      <c r="G13" s="9">
        <f t="shared" si="0"/>
        <v>3.9288715940942107</v>
      </c>
      <c r="H13" s="9">
        <f t="shared" si="1"/>
        <v>3.9288715940942107</v>
      </c>
    </row>
    <row r="14" spans="1:12" x14ac:dyDescent="0.2">
      <c r="A14" s="31">
        <v>100</v>
      </c>
      <c r="B14" s="34">
        <v>296.40785</v>
      </c>
      <c r="C14" s="30">
        <v>27.086500000000001</v>
      </c>
      <c r="D14" s="30">
        <v>0.98134999999999994</v>
      </c>
      <c r="E14" s="29"/>
      <c r="F14" s="29"/>
      <c r="G14" s="9">
        <f t="shared" si="0"/>
        <v>4.2228273144098507</v>
      </c>
      <c r="H14" s="9">
        <f t="shared" si="1"/>
        <v>4.2228273144098507</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7.2615698178229513</v>
      </c>
      <c r="C19" s="30">
        <f t="shared" ref="C19:C26" si="2">A19/60</f>
        <v>8.3333333333333329E-2</v>
      </c>
      <c r="F19" s="29"/>
      <c r="G19" s="29"/>
      <c r="H19" s="29"/>
    </row>
    <row r="20" spans="1:8" x14ac:dyDescent="0.2">
      <c r="A20" s="29">
        <v>10</v>
      </c>
      <c r="B20" s="29">
        <f t="shared" ref="B20:B26" si="3">$B$11/($C$11+A20)^$D$11</f>
        <v>6.372811182570171</v>
      </c>
      <c r="C20" s="30">
        <f t="shared" si="2"/>
        <v>0.16666666666666666</v>
      </c>
      <c r="F20" s="29"/>
      <c r="G20" s="29"/>
      <c r="H20" s="29"/>
    </row>
    <row r="21" spans="1:8" x14ac:dyDescent="0.2">
      <c r="A21" s="29">
        <v>30</v>
      </c>
      <c r="B21" s="29">
        <f t="shared" si="3"/>
        <v>4.2754702350777425</v>
      </c>
      <c r="C21" s="30">
        <f t="shared" si="2"/>
        <v>0.5</v>
      </c>
      <c r="F21" s="29"/>
      <c r="G21" s="29"/>
      <c r="H21" s="29"/>
    </row>
    <row r="22" spans="1:8" x14ac:dyDescent="0.2">
      <c r="A22" s="29">
        <v>60</v>
      </c>
      <c r="B22" s="29">
        <f t="shared" si="3"/>
        <v>2.8596556287393966</v>
      </c>
      <c r="C22" s="30">
        <f t="shared" si="2"/>
        <v>1</v>
      </c>
      <c r="F22" s="29"/>
      <c r="G22" s="29"/>
      <c r="H22" s="29"/>
    </row>
    <row r="23" spans="1:8" x14ac:dyDescent="0.2">
      <c r="A23" s="29">
        <v>180</v>
      </c>
      <c r="B23" s="29">
        <f t="shared" si="3"/>
        <v>1.226769452789173</v>
      </c>
      <c r="C23" s="30">
        <f t="shared" si="2"/>
        <v>3</v>
      </c>
      <c r="F23" s="29"/>
      <c r="G23" s="29"/>
      <c r="H23" s="29"/>
    </row>
    <row r="24" spans="1:8" x14ac:dyDescent="0.2">
      <c r="A24" s="29">
        <v>360</v>
      </c>
      <c r="B24" s="29">
        <f t="shared" si="3"/>
        <v>0.65922877883024511</v>
      </c>
      <c r="C24" s="30">
        <f t="shared" si="2"/>
        <v>6</v>
      </c>
      <c r="F24" s="29"/>
      <c r="G24" s="33"/>
      <c r="H24" s="33"/>
    </row>
    <row r="25" spans="1:8" x14ac:dyDescent="0.2">
      <c r="A25" s="29">
        <v>840</v>
      </c>
      <c r="B25" s="29">
        <f t="shared" si="3"/>
        <v>0.2942614262749163</v>
      </c>
      <c r="C25" s="30">
        <f t="shared" si="2"/>
        <v>14</v>
      </c>
      <c r="F25" s="29"/>
      <c r="G25" s="9"/>
      <c r="H25" s="9"/>
    </row>
    <row r="26" spans="1:8" x14ac:dyDescent="0.2">
      <c r="A26" s="29">
        <v>1440</v>
      </c>
      <c r="B26" s="29">
        <f t="shared" si="3"/>
        <v>0.17358097215968463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150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1505" r:id="rId4"/>
      </mc:Fallback>
    </mc:AlternateContent>
  </oleObject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H34" sqref="H34"/>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155</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237.89063999999999</v>
      </c>
      <c r="C9" s="30">
        <v>36.002400000000002</v>
      </c>
      <c r="D9" s="30">
        <v>1.03796</v>
      </c>
      <c r="E9" s="29"/>
      <c r="F9" s="29"/>
      <c r="G9" s="9">
        <f t="shared" ref="G9:G14" si="0">B9/(C9+$D$4)^D9</f>
        <v>2.3639771219053318</v>
      </c>
      <c r="H9" s="9">
        <f t="shared" ref="H9:H14" si="1">B9/(C9+$D$5)^D9</f>
        <v>2.3639771219053318</v>
      </c>
      <c r="J9" s="29"/>
      <c r="K9" s="29"/>
      <c r="L9" s="30"/>
    </row>
    <row r="10" spans="1:12" x14ac:dyDescent="0.2">
      <c r="A10" s="31">
        <v>5</v>
      </c>
      <c r="B10" s="34">
        <v>253.76636999999999</v>
      </c>
      <c r="C10" s="30">
        <v>33.481679999999997</v>
      </c>
      <c r="D10" s="30">
        <v>1.0223199999999999</v>
      </c>
      <c r="E10" s="29"/>
      <c r="F10" s="29"/>
      <c r="G10" s="9">
        <f t="shared" si="0"/>
        <v>2.787666736984904</v>
      </c>
      <c r="H10" s="9">
        <f t="shared" si="1"/>
        <v>2.787666736984904</v>
      </c>
      <c r="J10" s="29"/>
      <c r="K10" s="29"/>
      <c r="L10" s="30"/>
    </row>
    <row r="11" spans="1:12" x14ac:dyDescent="0.2">
      <c r="A11" s="31">
        <v>10</v>
      </c>
      <c r="B11" s="34">
        <v>263.78131000000002</v>
      </c>
      <c r="C11" s="30">
        <v>31.96134</v>
      </c>
      <c r="D11" s="30">
        <v>1.0126500000000001</v>
      </c>
      <c r="E11" s="29"/>
      <c r="F11" s="29"/>
      <c r="G11" s="35">
        <f t="shared" si="0"/>
        <v>3.0815089339041597</v>
      </c>
      <c r="H11" s="118">
        <f t="shared" si="1"/>
        <v>3.0815089339041597</v>
      </c>
      <c r="J11" s="29"/>
      <c r="K11" s="29"/>
      <c r="L11" s="30"/>
    </row>
    <row r="12" spans="1:12" x14ac:dyDescent="0.2">
      <c r="A12" s="31">
        <v>25</v>
      </c>
      <c r="B12" s="34">
        <v>277.32452000000001</v>
      </c>
      <c r="C12" s="30">
        <v>29.952089999999998</v>
      </c>
      <c r="D12" s="30">
        <v>0.99968999999999997</v>
      </c>
      <c r="E12" s="29"/>
      <c r="F12" s="29"/>
      <c r="G12" s="9">
        <f t="shared" si="0"/>
        <v>3.5168095798085384</v>
      </c>
      <c r="H12" s="9">
        <f t="shared" si="1"/>
        <v>3.5168095798085384</v>
      </c>
      <c r="J12" s="29"/>
      <c r="K12" s="29"/>
      <c r="L12" s="30"/>
    </row>
    <row r="13" spans="1:12" x14ac:dyDescent="0.2">
      <c r="A13" s="31">
        <v>50</v>
      </c>
      <c r="B13" s="34">
        <v>286.37653999999998</v>
      </c>
      <c r="C13" s="30">
        <v>28.610849999999999</v>
      </c>
      <c r="D13" s="30">
        <v>0.99104000000000003</v>
      </c>
      <c r="E13" s="29"/>
      <c r="F13" s="29"/>
      <c r="G13" s="9">
        <f t="shared" si="0"/>
        <v>3.8360494112599155</v>
      </c>
      <c r="H13" s="9">
        <f t="shared" si="1"/>
        <v>3.8360494112599155</v>
      </c>
    </row>
    <row r="14" spans="1:12" x14ac:dyDescent="0.2">
      <c r="A14" s="31">
        <v>100</v>
      </c>
      <c r="B14" s="34">
        <v>294.97888999999998</v>
      </c>
      <c r="C14" s="30">
        <v>27.308869999999999</v>
      </c>
      <c r="D14" s="30">
        <v>0.98273999999999995</v>
      </c>
      <c r="E14" s="29"/>
      <c r="F14" s="29"/>
      <c r="G14" s="9">
        <f t="shared" si="0"/>
        <v>4.1652790132521309</v>
      </c>
      <c r="H14" s="9">
        <f t="shared" si="1"/>
        <v>4.1652790132521309</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6.8181147223895362</v>
      </c>
      <c r="C19" s="30">
        <f t="shared" ref="C19:C26" si="2">A19/60</f>
        <v>8.3333333333333329E-2</v>
      </c>
      <c r="F19" s="29"/>
      <c r="G19" s="29"/>
      <c r="H19" s="29"/>
    </row>
    <row r="20" spans="1:8" x14ac:dyDescent="0.2">
      <c r="A20" s="29">
        <v>10</v>
      </c>
      <c r="B20" s="29">
        <f t="shared" ref="B20:B26" si="3">$B$11/($C$11+A20)^$D$11</f>
        <v>5.996055276929809</v>
      </c>
      <c r="C20" s="30">
        <f t="shared" si="2"/>
        <v>0.16666666666666666</v>
      </c>
      <c r="F20" s="29"/>
      <c r="G20" s="29"/>
      <c r="H20" s="29"/>
    </row>
    <row r="21" spans="1:8" x14ac:dyDescent="0.2">
      <c r="A21" s="29">
        <v>30</v>
      </c>
      <c r="B21" s="29">
        <f t="shared" si="3"/>
        <v>4.0406654221006209</v>
      </c>
      <c r="C21" s="30">
        <f t="shared" si="2"/>
        <v>0.5</v>
      </c>
      <c r="F21" s="29"/>
      <c r="G21" s="29"/>
      <c r="H21" s="29"/>
    </row>
    <row r="22" spans="1:8" x14ac:dyDescent="0.2">
      <c r="A22" s="29">
        <v>60</v>
      </c>
      <c r="B22" s="29">
        <f t="shared" si="3"/>
        <v>2.7089383589452134</v>
      </c>
      <c r="C22" s="30">
        <f t="shared" si="2"/>
        <v>1</v>
      </c>
      <c r="F22" s="29"/>
      <c r="G22" s="29"/>
      <c r="H22" s="29"/>
    </row>
    <row r="23" spans="1:8" x14ac:dyDescent="0.2">
      <c r="A23" s="29">
        <v>180</v>
      </c>
      <c r="B23" s="29">
        <f t="shared" si="3"/>
        <v>1.1629477897141913</v>
      </c>
      <c r="C23" s="30">
        <f t="shared" si="2"/>
        <v>3</v>
      </c>
      <c r="F23" s="29"/>
      <c r="G23" s="29"/>
      <c r="H23" s="29"/>
    </row>
    <row r="24" spans="1:8" x14ac:dyDescent="0.2">
      <c r="A24" s="29">
        <v>360</v>
      </c>
      <c r="B24" s="29">
        <f t="shared" si="3"/>
        <v>0.62401676844194798</v>
      </c>
      <c r="C24" s="30">
        <f t="shared" si="2"/>
        <v>6</v>
      </c>
      <c r="F24" s="29"/>
      <c r="G24" s="33"/>
      <c r="H24" s="33"/>
    </row>
    <row r="25" spans="1:8" x14ac:dyDescent="0.2">
      <c r="A25" s="29">
        <v>840</v>
      </c>
      <c r="B25" s="29">
        <f t="shared" si="3"/>
        <v>0.27768313298281339</v>
      </c>
      <c r="C25" s="30">
        <f t="shared" si="2"/>
        <v>14</v>
      </c>
      <c r="F25" s="29"/>
      <c r="G25" s="9"/>
      <c r="H25" s="9"/>
    </row>
    <row r="26" spans="1:8" x14ac:dyDescent="0.2">
      <c r="A26" s="29">
        <v>1440</v>
      </c>
      <c r="B26" s="29">
        <f t="shared" si="3"/>
        <v>0.16340815537449951</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921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921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
  <sheetViews>
    <sheetView workbookViewId="0">
      <selection activeCell="D10" sqref="D10"/>
    </sheetView>
  </sheetViews>
  <sheetFormatPr defaultRowHeight="12.75" x14ac:dyDescent="0.2"/>
  <sheetData>
    <row r="3" spans="1:2" x14ac:dyDescent="0.2">
      <c r="A3">
        <v>1</v>
      </c>
      <c r="B3" s="3" t="s">
        <v>417</v>
      </c>
    </row>
    <row r="4" spans="1:2" x14ac:dyDescent="0.2">
      <c r="A4">
        <v>2</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156</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239.42789999999999</v>
      </c>
      <c r="C9" s="30">
        <v>35.751910000000002</v>
      </c>
      <c r="D9" s="30">
        <v>1.03643</v>
      </c>
      <c r="E9" s="29"/>
      <c r="F9" s="29"/>
      <c r="G9" s="9">
        <f t="shared" ref="G9:G14" si="0">B9/(C9+$D$4)^D9</f>
        <v>2.4028186555798006</v>
      </c>
      <c r="H9" s="9">
        <f t="shared" ref="H9:H14" si="1">B9/(C9+$D$5)^D9</f>
        <v>2.4028186555798006</v>
      </c>
      <c r="J9" s="29"/>
      <c r="K9" s="29"/>
      <c r="L9" s="30"/>
    </row>
    <row r="10" spans="1:12" x14ac:dyDescent="0.2">
      <c r="A10" s="31">
        <v>5</v>
      </c>
      <c r="B10" s="34">
        <v>254.57509999999999</v>
      </c>
      <c r="C10" s="30">
        <v>33.357579999999999</v>
      </c>
      <c r="D10" s="30">
        <v>1.0215399999999999</v>
      </c>
      <c r="E10" s="29"/>
      <c r="F10" s="29"/>
      <c r="G10" s="9">
        <f t="shared" si="0"/>
        <v>2.8105118959526085</v>
      </c>
      <c r="H10" s="9">
        <f t="shared" si="1"/>
        <v>2.8105118959526085</v>
      </c>
      <c r="J10" s="29"/>
      <c r="K10" s="29"/>
      <c r="L10" s="30"/>
    </row>
    <row r="11" spans="1:12" x14ac:dyDescent="0.2">
      <c r="A11" s="31">
        <v>10</v>
      </c>
      <c r="B11" s="34">
        <v>265.33812</v>
      </c>
      <c r="C11" s="30">
        <v>31.728549999999998</v>
      </c>
      <c r="D11" s="30">
        <v>1.01115</v>
      </c>
      <c r="E11" s="29"/>
      <c r="F11" s="29"/>
      <c r="G11" s="35">
        <f t="shared" si="0"/>
        <v>3.1292903828812588</v>
      </c>
      <c r="H11" s="118">
        <f t="shared" si="1"/>
        <v>3.1292903828812588</v>
      </c>
      <c r="J11" s="29"/>
      <c r="K11" s="29"/>
      <c r="L11" s="30"/>
    </row>
    <row r="12" spans="1:12" x14ac:dyDescent="0.2">
      <c r="A12" s="31">
        <v>25</v>
      </c>
      <c r="B12" s="34">
        <v>278.27661000000001</v>
      </c>
      <c r="C12" s="30">
        <v>29.811530000000001</v>
      </c>
      <c r="D12" s="30">
        <v>0.99878</v>
      </c>
      <c r="E12" s="29"/>
      <c r="F12" s="29"/>
      <c r="G12" s="9">
        <f t="shared" si="0"/>
        <v>3.5492513911040748</v>
      </c>
      <c r="H12" s="9">
        <f t="shared" si="1"/>
        <v>3.5492513911040748</v>
      </c>
      <c r="J12" s="29"/>
      <c r="K12" s="29"/>
      <c r="L12" s="30"/>
    </row>
    <row r="13" spans="1:12" x14ac:dyDescent="0.2">
      <c r="A13" s="31">
        <v>50</v>
      </c>
      <c r="B13" s="34">
        <v>287.58051</v>
      </c>
      <c r="C13" s="30">
        <v>28.431000000000001</v>
      </c>
      <c r="D13" s="30">
        <v>0.98987999999999998</v>
      </c>
      <c r="E13" s="29"/>
      <c r="F13" s="29"/>
      <c r="G13" s="9">
        <f t="shared" si="0"/>
        <v>3.8805726239369509</v>
      </c>
      <c r="H13" s="9">
        <f t="shared" si="1"/>
        <v>3.8805726239369509</v>
      </c>
    </row>
    <row r="14" spans="1:12" x14ac:dyDescent="0.2">
      <c r="A14" s="31">
        <v>100</v>
      </c>
      <c r="B14" s="34">
        <v>296.11192</v>
      </c>
      <c r="C14" s="30">
        <v>27.133880000000001</v>
      </c>
      <c r="D14" s="30">
        <v>0.98163999999999996</v>
      </c>
      <c r="E14" s="29"/>
      <c r="F14" s="29"/>
      <c r="G14" s="9">
        <f t="shared" si="0"/>
        <v>4.2107413056221583</v>
      </c>
      <c r="H14" s="9">
        <f t="shared" si="1"/>
        <v>4.2107413056221583</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6.9397859012013488</v>
      </c>
      <c r="C19" s="30">
        <f t="shared" ref="C19:C26" si="2">A19/60</f>
        <v>8.3333333333333329E-2</v>
      </c>
      <c r="F19" s="29"/>
      <c r="G19" s="29"/>
      <c r="H19" s="29"/>
    </row>
    <row r="20" spans="1:8" x14ac:dyDescent="0.2">
      <c r="A20" s="29">
        <v>10</v>
      </c>
      <c r="B20" s="29">
        <f t="shared" ref="B20:B26" si="3">$B$11/($C$11+A20)^$D$11</f>
        <v>6.0995602081287688</v>
      </c>
      <c r="C20" s="30">
        <f t="shared" si="2"/>
        <v>0.16666666666666666</v>
      </c>
      <c r="F20" s="29"/>
      <c r="G20" s="29"/>
      <c r="H20" s="29"/>
    </row>
    <row r="21" spans="1:8" x14ac:dyDescent="0.2">
      <c r="A21" s="29">
        <v>30</v>
      </c>
      <c r="B21" s="29">
        <f t="shared" si="3"/>
        <v>4.1053449312596095</v>
      </c>
      <c r="C21" s="30">
        <f t="shared" si="2"/>
        <v>0.5</v>
      </c>
      <c r="F21" s="29"/>
      <c r="G21" s="29"/>
      <c r="H21" s="29"/>
    </row>
    <row r="22" spans="1:8" x14ac:dyDescent="0.2">
      <c r="A22" s="29">
        <v>60</v>
      </c>
      <c r="B22" s="29">
        <f t="shared" si="3"/>
        <v>2.7505097816223909</v>
      </c>
      <c r="C22" s="30">
        <f t="shared" si="2"/>
        <v>1</v>
      </c>
      <c r="F22" s="29"/>
      <c r="G22" s="29"/>
      <c r="H22" s="29"/>
    </row>
    <row r="23" spans="1:8" x14ac:dyDescent="0.2">
      <c r="A23" s="29">
        <v>180</v>
      </c>
      <c r="B23" s="29">
        <f t="shared" si="3"/>
        <v>1.180559237666071</v>
      </c>
      <c r="C23" s="30">
        <f t="shared" si="2"/>
        <v>3</v>
      </c>
      <c r="F23" s="29"/>
      <c r="G23" s="29"/>
      <c r="H23" s="29"/>
    </row>
    <row r="24" spans="1:8" x14ac:dyDescent="0.2">
      <c r="A24" s="29">
        <v>360</v>
      </c>
      <c r="B24" s="29">
        <f t="shared" si="3"/>
        <v>0.63372762275437344</v>
      </c>
      <c r="C24" s="30">
        <f t="shared" si="2"/>
        <v>6</v>
      </c>
      <c r="F24" s="29"/>
      <c r="G24" s="33"/>
      <c r="H24" s="33"/>
    </row>
    <row r="25" spans="1:8" x14ac:dyDescent="0.2">
      <c r="A25" s="29">
        <v>840</v>
      </c>
      <c r="B25" s="29">
        <f t="shared" si="3"/>
        <v>0.28224946457362965</v>
      </c>
      <c r="C25" s="30">
        <f t="shared" si="2"/>
        <v>14</v>
      </c>
      <c r="F25" s="29"/>
      <c r="G25" s="9"/>
      <c r="H25" s="9"/>
    </row>
    <row r="26" spans="1:8" x14ac:dyDescent="0.2">
      <c r="A26" s="29">
        <v>1440</v>
      </c>
      <c r="B26" s="29">
        <f t="shared" si="3"/>
        <v>0.16620751405886774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764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7649" r:id="rId4"/>
      </mc:Fallback>
    </mc:AlternateContent>
  </oleObjec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157</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252.63191</v>
      </c>
      <c r="C9" s="30">
        <v>33.656480000000002</v>
      </c>
      <c r="D9" s="30">
        <v>1.02342</v>
      </c>
      <c r="E9" s="29"/>
      <c r="F9" s="29"/>
      <c r="G9" s="9">
        <f t="shared" ref="G9:G14" si="0">B9/(C9+$D$4)^D9</f>
        <v>2.7557900147832388</v>
      </c>
      <c r="H9" s="9">
        <f t="shared" ref="H9:H14" si="1">B9/(C9+$D$5)^D9</f>
        <v>2.7557900147832388</v>
      </c>
      <c r="J9" s="29"/>
      <c r="K9" s="29"/>
      <c r="L9" s="30"/>
    </row>
    <row r="10" spans="1:12" x14ac:dyDescent="0.2">
      <c r="A10" s="31">
        <v>5</v>
      </c>
      <c r="B10" s="34">
        <v>263.35487999999998</v>
      </c>
      <c r="C10" s="30">
        <v>32.025089999999999</v>
      </c>
      <c r="D10" s="30">
        <v>1.0130600000000001</v>
      </c>
      <c r="E10" s="29"/>
      <c r="F10" s="29"/>
      <c r="G10" s="9">
        <f t="shared" si="0"/>
        <v>3.0685422841336978</v>
      </c>
      <c r="H10" s="9">
        <f t="shared" si="1"/>
        <v>3.0685422841336978</v>
      </c>
      <c r="J10" s="29"/>
      <c r="K10" s="29"/>
      <c r="L10" s="30"/>
    </row>
    <row r="11" spans="1:12" x14ac:dyDescent="0.2">
      <c r="A11" s="31">
        <v>10</v>
      </c>
      <c r="B11" s="34">
        <v>271.20123999999998</v>
      </c>
      <c r="C11" s="30">
        <v>30.856809999999999</v>
      </c>
      <c r="D11" s="30">
        <v>1.0055400000000001</v>
      </c>
      <c r="E11" s="29"/>
      <c r="F11" s="29"/>
      <c r="G11" s="35">
        <f t="shared" si="0"/>
        <v>3.3141891536468528</v>
      </c>
      <c r="H11" s="118">
        <f t="shared" si="1"/>
        <v>3.3141891536468528</v>
      </c>
      <c r="J11" s="29"/>
      <c r="K11" s="29"/>
      <c r="L11" s="30"/>
    </row>
    <row r="12" spans="1:12" x14ac:dyDescent="0.2">
      <c r="A12" s="31">
        <v>25</v>
      </c>
      <c r="B12" s="34">
        <v>282.27166999999997</v>
      </c>
      <c r="C12" s="30">
        <v>29.22082</v>
      </c>
      <c r="D12" s="30">
        <v>0.99494000000000005</v>
      </c>
      <c r="E12" s="29"/>
      <c r="F12" s="29"/>
      <c r="G12" s="9">
        <f t="shared" si="0"/>
        <v>3.6885942110136272</v>
      </c>
      <c r="H12" s="9">
        <f t="shared" si="1"/>
        <v>3.6885942110136272</v>
      </c>
      <c r="J12" s="29"/>
      <c r="K12" s="29"/>
      <c r="L12" s="30"/>
    </row>
    <row r="13" spans="1:12" x14ac:dyDescent="0.2">
      <c r="A13" s="31">
        <v>50</v>
      </c>
      <c r="B13" s="34">
        <v>290.40814</v>
      </c>
      <c r="C13" s="30">
        <v>28.005379999999999</v>
      </c>
      <c r="D13" s="30">
        <v>0.98716000000000004</v>
      </c>
      <c r="E13" s="29"/>
      <c r="F13" s="29"/>
      <c r="G13" s="9">
        <f t="shared" si="0"/>
        <v>3.9869967770058321</v>
      </c>
      <c r="H13" s="9">
        <f t="shared" si="1"/>
        <v>3.9869967770058321</v>
      </c>
    </row>
    <row r="14" spans="1:12" x14ac:dyDescent="0.2">
      <c r="A14" s="31">
        <v>100</v>
      </c>
      <c r="B14" s="34">
        <v>297.47764999999998</v>
      </c>
      <c r="C14" s="30">
        <v>26.91919</v>
      </c>
      <c r="D14" s="30">
        <v>0.98031000000000001</v>
      </c>
      <c r="E14" s="29"/>
      <c r="F14" s="29"/>
      <c r="G14" s="9">
        <f t="shared" si="0"/>
        <v>4.2664009260720892</v>
      </c>
      <c r="H14" s="9">
        <f t="shared" si="1"/>
        <v>4.2664009260720892</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7.414940902260823</v>
      </c>
      <c r="C19" s="30">
        <f t="shared" ref="C19:C26" si="2">A19/60</f>
        <v>8.3333333333333329E-2</v>
      </c>
      <c r="F19" s="29"/>
      <c r="G19" s="29"/>
      <c r="H19" s="29"/>
    </row>
    <row r="20" spans="1:8" x14ac:dyDescent="0.2">
      <c r="A20" s="29">
        <v>10</v>
      </c>
      <c r="B20" s="29">
        <f t="shared" ref="B20:B26" si="3">$B$11/($C$11+A20)^$D$11</f>
        <v>6.5028061958617505</v>
      </c>
      <c r="C20" s="30">
        <f t="shared" si="2"/>
        <v>0.16666666666666666</v>
      </c>
      <c r="F20" s="29"/>
      <c r="G20" s="29"/>
      <c r="H20" s="29"/>
    </row>
    <row r="21" spans="1:8" x14ac:dyDescent="0.2">
      <c r="A21" s="29">
        <v>30</v>
      </c>
      <c r="B21" s="29">
        <f t="shared" si="3"/>
        <v>4.3560957201850368</v>
      </c>
      <c r="C21" s="30">
        <f t="shared" si="2"/>
        <v>0.5</v>
      </c>
      <c r="F21" s="29"/>
      <c r="G21" s="29"/>
      <c r="H21" s="29"/>
    </row>
    <row r="22" spans="1:8" x14ac:dyDescent="0.2">
      <c r="A22" s="29">
        <v>60</v>
      </c>
      <c r="B22" s="29">
        <f t="shared" si="3"/>
        <v>2.9112860934222962</v>
      </c>
      <c r="C22" s="30">
        <f t="shared" si="2"/>
        <v>1</v>
      </c>
      <c r="F22" s="29"/>
      <c r="G22" s="29"/>
      <c r="H22" s="29"/>
    </row>
    <row r="23" spans="1:8" x14ac:dyDescent="0.2">
      <c r="A23" s="29">
        <v>180</v>
      </c>
      <c r="B23" s="29">
        <f t="shared" si="3"/>
        <v>1.248616723824405</v>
      </c>
      <c r="C23" s="30">
        <f t="shared" si="2"/>
        <v>3</v>
      </c>
      <c r="F23" s="29"/>
      <c r="G23" s="29"/>
      <c r="H23" s="29"/>
    </row>
    <row r="24" spans="1:8" x14ac:dyDescent="0.2">
      <c r="A24" s="29">
        <v>360</v>
      </c>
      <c r="B24" s="29">
        <f t="shared" si="3"/>
        <v>0.67129623241012548</v>
      </c>
      <c r="C24" s="30">
        <f t="shared" si="2"/>
        <v>6</v>
      </c>
      <c r="F24" s="29"/>
      <c r="G24" s="33"/>
      <c r="H24" s="33"/>
    </row>
    <row r="25" spans="1:8" x14ac:dyDescent="0.2">
      <c r="A25" s="29">
        <v>840</v>
      </c>
      <c r="B25" s="29">
        <f t="shared" si="3"/>
        <v>0.29995604147401278</v>
      </c>
      <c r="C25" s="30">
        <f t="shared" si="2"/>
        <v>14</v>
      </c>
      <c r="F25" s="29"/>
      <c r="G25" s="9"/>
      <c r="H25" s="9"/>
    </row>
    <row r="26" spans="1:8" x14ac:dyDescent="0.2">
      <c r="A26" s="29">
        <v>1440</v>
      </c>
      <c r="B26" s="29">
        <f t="shared" si="3"/>
        <v>0.17708139529933728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867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8673" r:id="rId4"/>
      </mc:Fallback>
    </mc:AlternateContent>
  </oleObjec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158</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240.11064999999999</v>
      </c>
      <c r="C9" s="30">
        <v>35.64002</v>
      </c>
      <c r="D9" s="30">
        <v>1.0357499999999999</v>
      </c>
      <c r="E9" s="29"/>
      <c r="F9" s="29"/>
      <c r="G9" s="9">
        <f t="shared" ref="G9:G14" si="0">B9/(C9+$D$4)^D9</f>
        <v>2.4202655046513817</v>
      </c>
      <c r="H9" s="9">
        <f t="shared" ref="H9:H14" si="1">B9/(C9+$D$5)^D9</f>
        <v>2.4202655046513817</v>
      </c>
      <c r="J9" s="29"/>
      <c r="K9" s="29"/>
      <c r="L9" s="30"/>
    </row>
    <row r="10" spans="1:12" x14ac:dyDescent="0.2">
      <c r="A10" s="31">
        <v>5</v>
      </c>
      <c r="B10" s="34">
        <v>255.19143</v>
      </c>
      <c r="C10" s="30">
        <v>33.262779999999999</v>
      </c>
      <c r="D10" s="30">
        <v>1.02094</v>
      </c>
      <c r="E10" s="29"/>
      <c r="F10" s="29"/>
      <c r="G10" s="9">
        <f t="shared" si="0"/>
        <v>2.8281057578202904</v>
      </c>
      <c r="H10" s="9">
        <f t="shared" si="1"/>
        <v>2.8281057578202904</v>
      </c>
      <c r="J10" s="29"/>
      <c r="K10" s="29"/>
      <c r="L10" s="30"/>
    </row>
    <row r="11" spans="1:12" x14ac:dyDescent="0.2">
      <c r="A11" s="31">
        <v>10</v>
      </c>
      <c r="B11" s="34">
        <v>265.20096000000001</v>
      </c>
      <c r="C11" s="30">
        <v>31.748999999999999</v>
      </c>
      <c r="D11" s="30">
        <v>1.01128</v>
      </c>
      <c r="E11" s="29"/>
      <c r="F11" s="29"/>
      <c r="G11" s="35">
        <f t="shared" si="0"/>
        <v>3.1250873607418703</v>
      </c>
      <c r="H11" s="118">
        <f t="shared" si="1"/>
        <v>3.1250873607418703</v>
      </c>
      <c r="J11" s="29"/>
      <c r="K11" s="29"/>
      <c r="L11" s="30"/>
    </row>
    <row r="12" spans="1:12" x14ac:dyDescent="0.2">
      <c r="A12" s="31">
        <v>25</v>
      </c>
      <c r="B12" s="34">
        <v>278.49725000000001</v>
      </c>
      <c r="C12" s="30">
        <v>29.778949999999998</v>
      </c>
      <c r="D12" s="30">
        <v>0.99856999999999996</v>
      </c>
      <c r="E12" s="29"/>
      <c r="F12" s="29"/>
      <c r="G12" s="9">
        <f t="shared" si="0"/>
        <v>3.5567926916724089</v>
      </c>
      <c r="H12" s="9">
        <f t="shared" si="1"/>
        <v>3.5567926916724089</v>
      </c>
      <c r="J12" s="29"/>
      <c r="K12" s="29"/>
      <c r="L12" s="30"/>
    </row>
    <row r="13" spans="1:12" x14ac:dyDescent="0.2">
      <c r="A13" s="31">
        <v>50</v>
      </c>
      <c r="B13" s="34">
        <v>287.80007000000001</v>
      </c>
      <c r="C13" s="30">
        <v>28.398219999999998</v>
      </c>
      <c r="D13" s="30">
        <v>0.98967000000000005</v>
      </c>
      <c r="E13" s="29"/>
      <c r="F13" s="29"/>
      <c r="G13" s="9">
        <f t="shared" si="0"/>
        <v>3.8887132086301475</v>
      </c>
      <c r="H13" s="9">
        <f t="shared" si="1"/>
        <v>3.8887132086301475</v>
      </c>
    </row>
    <row r="14" spans="1:12" x14ac:dyDescent="0.2">
      <c r="A14" s="31">
        <v>100</v>
      </c>
      <c r="B14" s="34">
        <v>295.94022000000001</v>
      </c>
      <c r="C14" s="30">
        <v>27.160820000000001</v>
      </c>
      <c r="D14" s="30">
        <v>0.98180999999999996</v>
      </c>
      <c r="E14" s="29"/>
      <c r="F14" s="29"/>
      <c r="G14" s="9">
        <f t="shared" si="0"/>
        <v>4.2037410231949979</v>
      </c>
      <c r="H14" s="9">
        <f t="shared" si="1"/>
        <v>4.2037410231949979</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6.9290484264143686</v>
      </c>
      <c r="C19" s="30">
        <f t="shared" ref="C19:C26" si="2">A19/60</f>
        <v>8.3333333333333329E-2</v>
      </c>
      <c r="F19" s="29"/>
      <c r="G19" s="29"/>
      <c r="H19" s="29"/>
    </row>
    <row r="20" spans="1:8" x14ac:dyDescent="0.2">
      <c r="A20" s="29">
        <v>10</v>
      </c>
      <c r="B20" s="29">
        <f t="shared" ref="B20:B26" si="3">$B$11/($C$11+A20)^$D$11</f>
        <v>6.0904323928703068</v>
      </c>
      <c r="C20" s="30">
        <f t="shared" si="2"/>
        <v>0.16666666666666666</v>
      </c>
      <c r="F20" s="29"/>
      <c r="G20" s="29"/>
      <c r="H20" s="29"/>
    </row>
    <row r="21" spans="1:8" x14ac:dyDescent="0.2">
      <c r="A21" s="29">
        <v>30</v>
      </c>
      <c r="B21" s="29">
        <f t="shared" si="3"/>
        <v>4.0996507198443473</v>
      </c>
      <c r="C21" s="30">
        <f t="shared" si="2"/>
        <v>0.5</v>
      </c>
      <c r="F21" s="29"/>
      <c r="G21" s="29"/>
      <c r="H21" s="29"/>
    </row>
    <row r="22" spans="1:8" x14ac:dyDescent="0.2">
      <c r="A22" s="29">
        <v>60</v>
      </c>
      <c r="B22" s="29">
        <f t="shared" si="3"/>
        <v>2.7468542071176776</v>
      </c>
      <c r="C22" s="30">
        <f t="shared" si="2"/>
        <v>1</v>
      </c>
      <c r="F22" s="29"/>
      <c r="G22" s="29"/>
      <c r="H22" s="29"/>
    </row>
    <row r="23" spans="1:8" x14ac:dyDescent="0.2">
      <c r="A23" s="29">
        <v>180</v>
      </c>
      <c r="B23" s="29">
        <f t="shared" si="3"/>
        <v>1.1790126336620397</v>
      </c>
      <c r="C23" s="30">
        <f t="shared" si="2"/>
        <v>3</v>
      </c>
      <c r="F23" s="29"/>
      <c r="G23" s="29"/>
      <c r="H23" s="29"/>
    </row>
    <row r="24" spans="1:8" x14ac:dyDescent="0.2">
      <c r="A24" s="29">
        <v>360</v>
      </c>
      <c r="B24" s="29">
        <f t="shared" si="3"/>
        <v>0.63287518336656423</v>
      </c>
      <c r="C24" s="30">
        <f t="shared" si="2"/>
        <v>6</v>
      </c>
      <c r="F24" s="29"/>
      <c r="G24" s="33"/>
      <c r="H24" s="33"/>
    </row>
    <row r="25" spans="1:8" x14ac:dyDescent="0.2">
      <c r="A25" s="29">
        <v>840</v>
      </c>
      <c r="B25" s="29">
        <f t="shared" si="3"/>
        <v>0.2818486885207292</v>
      </c>
      <c r="C25" s="30">
        <f t="shared" si="2"/>
        <v>14</v>
      </c>
      <c r="F25" s="29"/>
      <c r="G25" s="9"/>
      <c r="H25" s="9"/>
    </row>
    <row r="26" spans="1:8" x14ac:dyDescent="0.2">
      <c r="A26" s="29">
        <v>1440</v>
      </c>
      <c r="B26" s="29">
        <f t="shared" si="3"/>
        <v>0.16596181576819496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969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9697" r:id="rId4"/>
      </mc:Fallback>
    </mc:AlternateContent>
  </oleObject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159</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243.38820000000001</v>
      </c>
      <c r="C9" s="30">
        <v>35.111159999999998</v>
      </c>
      <c r="D9" s="30">
        <v>1.0324899999999999</v>
      </c>
      <c r="E9" s="29"/>
      <c r="F9" s="29"/>
      <c r="G9" s="9">
        <f t="shared" ref="G9:G14" si="0">B9/(C9+$D$4)^D9</f>
        <v>2.5052172155977837</v>
      </c>
      <c r="H9" s="9">
        <f t="shared" ref="H9:H14" si="1">B9/(C9+$D$5)^D9</f>
        <v>2.5052172155977837</v>
      </c>
      <c r="J9" s="29"/>
      <c r="K9" s="29"/>
      <c r="L9" s="30"/>
    </row>
    <row r="10" spans="1:12" x14ac:dyDescent="0.2">
      <c r="A10" s="31">
        <v>5</v>
      </c>
      <c r="B10" s="34">
        <v>257.20585</v>
      </c>
      <c r="C10" s="30">
        <v>32.954790000000003</v>
      </c>
      <c r="D10" s="30">
        <v>1.01898</v>
      </c>
      <c r="E10" s="29"/>
      <c r="F10" s="29"/>
      <c r="G10" s="9">
        <f t="shared" si="0"/>
        <v>2.8861842065112446</v>
      </c>
      <c r="H10" s="9">
        <f t="shared" si="1"/>
        <v>2.8861842065112446</v>
      </c>
      <c r="J10" s="29"/>
      <c r="K10" s="29"/>
      <c r="L10" s="30"/>
    </row>
    <row r="11" spans="1:12" x14ac:dyDescent="0.2">
      <c r="A11" s="31">
        <v>10</v>
      </c>
      <c r="B11" s="34">
        <v>266.59332999999998</v>
      </c>
      <c r="C11" s="30">
        <v>31.54121</v>
      </c>
      <c r="D11" s="30">
        <v>1.0099499999999999</v>
      </c>
      <c r="E11" s="29"/>
      <c r="F11" s="29"/>
      <c r="G11" s="35">
        <f t="shared" si="0"/>
        <v>3.168129310949527</v>
      </c>
      <c r="H11" s="118">
        <f t="shared" si="1"/>
        <v>3.168129310949527</v>
      </c>
      <c r="J11" s="29"/>
      <c r="K11" s="29"/>
      <c r="L11" s="30"/>
    </row>
    <row r="12" spans="1:12" x14ac:dyDescent="0.2">
      <c r="A12" s="31">
        <v>25</v>
      </c>
      <c r="B12" s="34">
        <v>279.10068000000001</v>
      </c>
      <c r="C12" s="30">
        <v>29.689830000000001</v>
      </c>
      <c r="D12" s="30">
        <v>0.99799000000000004</v>
      </c>
      <c r="E12" s="29"/>
      <c r="F12" s="29"/>
      <c r="G12" s="9">
        <f t="shared" si="0"/>
        <v>3.5775771825887972</v>
      </c>
      <c r="H12" s="9">
        <f t="shared" si="1"/>
        <v>3.5775771825887972</v>
      </c>
      <c r="J12" s="29"/>
      <c r="K12" s="29"/>
      <c r="L12" s="30"/>
    </row>
    <row r="13" spans="1:12" x14ac:dyDescent="0.2">
      <c r="A13" s="31">
        <v>50</v>
      </c>
      <c r="B13" s="34">
        <v>287.98860000000002</v>
      </c>
      <c r="C13" s="30">
        <v>28.369949999999999</v>
      </c>
      <c r="D13" s="30">
        <v>0.98948999999999998</v>
      </c>
      <c r="E13" s="29"/>
      <c r="F13" s="29"/>
      <c r="G13" s="9">
        <f t="shared" si="0"/>
        <v>3.895715789568027</v>
      </c>
      <c r="H13" s="9">
        <f t="shared" si="1"/>
        <v>3.895715789568027</v>
      </c>
    </row>
    <row r="14" spans="1:12" x14ac:dyDescent="0.2">
      <c r="A14" s="31">
        <v>100</v>
      </c>
      <c r="B14" s="34">
        <v>295.95202</v>
      </c>
      <c r="C14" s="30">
        <v>27.15897</v>
      </c>
      <c r="D14" s="30">
        <v>0.98180000000000001</v>
      </c>
      <c r="E14" s="29"/>
      <c r="F14" s="29"/>
      <c r="G14" s="9">
        <f t="shared" si="0"/>
        <v>4.2041910467565158</v>
      </c>
      <c r="H14" s="9">
        <f t="shared" si="1"/>
        <v>4.2041910467565158</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7.0390923849433369</v>
      </c>
      <c r="C19" s="30">
        <f t="shared" ref="C19:C26" si="2">A19/60</f>
        <v>8.3333333333333329E-2</v>
      </c>
      <c r="F19" s="29"/>
      <c r="G19" s="29"/>
      <c r="H19" s="29"/>
    </row>
    <row r="20" spans="1:8" x14ac:dyDescent="0.2">
      <c r="A20" s="29">
        <v>10</v>
      </c>
      <c r="B20" s="29">
        <f t="shared" ref="B20:B26" si="3">$B$11/($C$11+A20)^$D$11</f>
        <v>6.1839542735017048</v>
      </c>
      <c r="C20" s="30">
        <f t="shared" si="2"/>
        <v>0.16666666666666666</v>
      </c>
      <c r="F20" s="29"/>
      <c r="G20" s="29"/>
      <c r="H20" s="29"/>
    </row>
    <row r="21" spans="1:8" x14ac:dyDescent="0.2">
      <c r="A21" s="29">
        <v>30</v>
      </c>
      <c r="B21" s="29">
        <f t="shared" si="3"/>
        <v>4.1579670794421162</v>
      </c>
      <c r="C21" s="30">
        <f t="shared" si="2"/>
        <v>0.5</v>
      </c>
      <c r="F21" s="29"/>
      <c r="G21" s="29"/>
      <c r="H21" s="29"/>
    </row>
    <row r="22" spans="1:8" x14ac:dyDescent="0.2">
      <c r="A22" s="29">
        <v>60</v>
      </c>
      <c r="B22" s="29">
        <f t="shared" si="3"/>
        <v>2.7842904969633384</v>
      </c>
      <c r="C22" s="30">
        <f t="shared" si="2"/>
        <v>1</v>
      </c>
      <c r="F22" s="29"/>
      <c r="G22" s="29"/>
      <c r="H22" s="29"/>
    </row>
    <row r="23" spans="1:8" x14ac:dyDescent="0.2">
      <c r="A23" s="29">
        <v>180</v>
      </c>
      <c r="B23" s="29">
        <f t="shared" si="3"/>
        <v>1.194858879053696</v>
      </c>
      <c r="C23" s="30">
        <f t="shared" si="2"/>
        <v>3</v>
      </c>
      <c r="F23" s="29"/>
      <c r="G23" s="29"/>
      <c r="H23" s="29"/>
    </row>
    <row r="24" spans="1:8" x14ac:dyDescent="0.2">
      <c r="A24" s="29">
        <v>360</v>
      </c>
      <c r="B24" s="29">
        <f t="shared" si="3"/>
        <v>0.64161375362844619</v>
      </c>
      <c r="C24" s="30">
        <f t="shared" si="2"/>
        <v>6</v>
      </c>
      <c r="F24" s="29"/>
      <c r="G24" s="33"/>
      <c r="H24" s="33"/>
    </row>
    <row r="25" spans="1:8" x14ac:dyDescent="0.2">
      <c r="A25" s="29">
        <v>840</v>
      </c>
      <c r="B25" s="29">
        <f t="shared" si="3"/>
        <v>0.28596013105164159</v>
      </c>
      <c r="C25" s="30">
        <f t="shared" si="2"/>
        <v>14</v>
      </c>
      <c r="F25" s="29"/>
      <c r="G25" s="9"/>
      <c r="H25" s="9"/>
    </row>
    <row r="26" spans="1:8" x14ac:dyDescent="0.2">
      <c r="A26" s="29">
        <v>1440</v>
      </c>
      <c r="B26" s="29">
        <f t="shared" si="3"/>
        <v>0.16848355397260789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072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0721"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160</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241.66730999999999</v>
      </c>
      <c r="C9" s="30">
        <v>35.387729999999998</v>
      </c>
      <c r="D9" s="30">
        <v>1.0342</v>
      </c>
      <c r="E9" s="29"/>
      <c r="F9" s="29"/>
      <c r="G9" s="9">
        <f t="shared" ref="G9:G14" si="0">B9/(C9+$D$4)^D9</f>
        <v>2.4603559182448596</v>
      </c>
      <c r="H9" s="9">
        <f t="shared" ref="H9:H14" si="1">B9/(C9+$D$5)^D9</f>
        <v>2.4603559182448596</v>
      </c>
      <c r="J9" s="29"/>
      <c r="K9" s="29"/>
      <c r="L9" s="30"/>
    </row>
    <row r="10" spans="1:12" x14ac:dyDescent="0.2">
      <c r="A10" s="31">
        <v>5</v>
      </c>
      <c r="B10" s="34">
        <v>255.60579000000001</v>
      </c>
      <c r="C10" s="30">
        <v>33.199210000000001</v>
      </c>
      <c r="D10" s="30">
        <v>1.0205299999999999</v>
      </c>
      <c r="E10" s="29"/>
      <c r="F10" s="29"/>
      <c r="G10" s="9">
        <f t="shared" si="0"/>
        <v>2.8400637518882754</v>
      </c>
      <c r="H10" s="9">
        <f t="shared" si="1"/>
        <v>2.8400637518882754</v>
      </c>
      <c r="J10" s="29"/>
      <c r="K10" s="29"/>
      <c r="L10" s="30"/>
    </row>
    <row r="11" spans="1:12" x14ac:dyDescent="0.2">
      <c r="A11" s="31">
        <v>10</v>
      </c>
      <c r="B11" s="34">
        <v>265.91649999999998</v>
      </c>
      <c r="C11" s="30">
        <v>31.642119999999998</v>
      </c>
      <c r="D11" s="30">
        <v>1.0105999999999999</v>
      </c>
      <c r="E11" s="29"/>
      <c r="F11" s="29"/>
      <c r="G11" s="35">
        <f t="shared" si="0"/>
        <v>3.1470995590565041</v>
      </c>
      <c r="H11" s="118">
        <f t="shared" si="1"/>
        <v>3.1470995590565041</v>
      </c>
      <c r="J11" s="29"/>
      <c r="K11" s="29"/>
      <c r="L11" s="30"/>
    </row>
    <row r="12" spans="1:12" x14ac:dyDescent="0.2">
      <c r="A12" s="31">
        <v>25</v>
      </c>
      <c r="B12" s="34">
        <v>279.12966999999998</v>
      </c>
      <c r="C12" s="30">
        <v>29.68554</v>
      </c>
      <c r="D12" s="30">
        <v>0.99797000000000002</v>
      </c>
      <c r="E12" s="29"/>
      <c r="F12" s="29"/>
      <c r="G12" s="9">
        <f t="shared" si="0"/>
        <v>3.5784558639511754</v>
      </c>
      <c r="H12" s="9">
        <f t="shared" si="1"/>
        <v>3.5784558639511754</v>
      </c>
      <c r="J12" s="29"/>
      <c r="K12" s="29"/>
      <c r="L12" s="30"/>
    </row>
    <row r="13" spans="1:12" x14ac:dyDescent="0.2">
      <c r="A13" s="31">
        <v>50</v>
      </c>
      <c r="B13" s="34">
        <v>287.73534999999998</v>
      </c>
      <c r="C13" s="30">
        <v>28.407810000000001</v>
      </c>
      <c r="D13" s="30">
        <v>0.98973</v>
      </c>
      <c r="E13" s="29"/>
      <c r="F13" s="29"/>
      <c r="G13" s="9">
        <f t="shared" si="0"/>
        <v>3.8863478151052711</v>
      </c>
      <c r="H13" s="9">
        <f t="shared" si="1"/>
        <v>3.8863478151052711</v>
      </c>
    </row>
    <row r="14" spans="1:12" x14ac:dyDescent="0.2">
      <c r="A14" s="31">
        <v>100</v>
      </c>
      <c r="B14" s="34">
        <v>296.11192</v>
      </c>
      <c r="C14" s="30">
        <v>27.133880000000001</v>
      </c>
      <c r="D14" s="30">
        <v>0.98163999999999996</v>
      </c>
      <c r="E14" s="29"/>
      <c r="F14" s="29"/>
      <c r="G14" s="9">
        <f t="shared" si="0"/>
        <v>4.2107413056221583</v>
      </c>
      <c r="H14" s="9">
        <f t="shared" si="1"/>
        <v>4.2107413056221583</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6.9853231028475165</v>
      </c>
      <c r="C19" s="30">
        <f t="shared" ref="C19:C26" si="2">A19/60</f>
        <v>8.3333333333333329E-2</v>
      </c>
      <c r="F19" s="29"/>
      <c r="G19" s="29"/>
      <c r="H19" s="29"/>
    </row>
    <row r="20" spans="1:8" x14ac:dyDescent="0.2">
      <c r="A20" s="29">
        <v>10</v>
      </c>
      <c r="B20" s="29">
        <f t="shared" ref="B20:B26" si="3">$B$11/($C$11+A20)^$D$11</f>
        <v>6.138261789143737</v>
      </c>
      <c r="C20" s="30">
        <f t="shared" si="2"/>
        <v>0.16666666666666666</v>
      </c>
      <c r="F20" s="29"/>
      <c r="G20" s="29"/>
      <c r="H20" s="29"/>
    </row>
    <row r="21" spans="1:8" x14ac:dyDescent="0.2">
      <c r="A21" s="29">
        <v>30</v>
      </c>
      <c r="B21" s="29">
        <f t="shared" si="3"/>
        <v>4.1294766728261481</v>
      </c>
      <c r="C21" s="30">
        <f t="shared" si="2"/>
        <v>0.5</v>
      </c>
      <c r="F21" s="29"/>
      <c r="G21" s="29"/>
      <c r="H21" s="29"/>
    </row>
    <row r="22" spans="1:8" x14ac:dyDescent="0.2">
      <c r="A22" s="29">
        <v>60</v>
      </c>
      <c r="B22" s="29">
        <f t="shared" si="3"/>
        <v>2.765998563495943</v>
      </c>
      <c r="C22" s="30">
        <f t="shared" si="2"/>
        <v>1</v>
      </c>
      <c r="F22" s="29"/>
      <c r="G22" s="29"/>
      <c r="H22" s="29"/>
    </row>
    <row r="23" spans="1:8" x14ac:dyDescent="0.2">
      <c r="A23" s="29">
        <v>180</v>
      </c>
      <c r="B23" s="29">
        <f t="shared" si="3"/>
        <v>1.1871122880481337</v>
      </c>
      <c r="C23" s="30">
        <f t="shared" si="2"/>
        <v>3</v>
      </c>
      <c r="F23" s="29"/>
      <c r="G23" s="29"/>
      <c r="H23" s="29"/>
    </row>
    <row r="24" spans="1:8" x14ac:dyDescent="0.2">
      <c r="A24" s="29">
        <v>360</v>
      </c>
      <c r="B24" s="29">
        <f t="shared" si="3"/>
        <v>0.63734013145131629</v>
      </c>
      <c r="C24" s="30">
        <f t="shared" si="2"/>
        <v>6</v>
      </c>
      <c r="F24" s="29"/>
      <c r="G24" s="33"/>
      <c r="H24" s="33"/>
    </row>
    <row r="25" spans="1:8" x14ac:dyDescent="0.2">
      <c r="A25" s="29">
        <v>840</v>
      </c>
      <c r="B25" s="29">
        <f t="shared" si="3"/>
        <v>0.28394844365702615</v>
      </c>
      <c r="C25" s="30">
        <f t="shared" si="2"/>
        <v>14</v>
      </c>
      <c r="F25" s="29"/>
      <c r="G25" s="9"/>
      <c r="H25" s="9"/>
    </row>
    <row r="26" spans="1:8" x14ac:dyDescent="0.2">
      <c r="A26" s="29">
        <v>1440</v>
      </c>
      <c r="B26" s="29">
        <f t="shared" si="3"/>
        <v>0.1672493248194348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174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1745" r:id="rId4"/>
      </mc:Fallback>
    </mc:AlternateContent>
  </oleObject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161</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248.70837</v>
      </c>
      <c r="C9" s="30">
        <v>34.267299999999999</v>
      </c>
      <c r="D9" s="30">
        <v>1.02725</v>
      </c>
      <c r="E9" s="29"/>
      <c r="F9" s="29"/>
      <c r="G9" s="9">
        <f t="shared" ref="G9:G14" si="0">B9/(C9+$D$4)^D9</f>
        <v>2.6474067008335771</v>
      </c>
      <c r="H9" s="9">
        <f t="shared" ref="H9:H14" si="1">B9/(C9+$D$5)^D9</f>
        <v>2.6474067008335771</v>
      </c>
      <c r="J9" s="29"/>
      <c r="K9" s="29"/>
      <c r="L9" s="30"/>
    </row>
    <row r="10" spans="1:12" x14ac:dyDescent="0.2">
      <c r="A10" s="31">
        <v>5</v>
      </c>
      <c r="B10" s="34">
        <v>260.21913999999998</v>
      </c>
      <c r="C10" s="30">
        <v>32.497070000000001</v>
      </c>
      <c r="D10" s="30">
        <v>1.01607</v>
      </c>
      <c r="E10" s="29"/>
      <c r="F10" s="29"/>
      <c r="G10" s="9">
        <f t="shared" si="0"/>
        <v>2.9745563755295503</v>
      </c>
      <c r="H10" s="9">
        <f t="shared" si="1"/>
        <v>2.9745563755295503</v>
      </c>
      <c r="J10" s="29"/>
      <c r="K10" s="29"/>
      <c r="L10" s="30"/>
    </row>
    <row r="11" spans="1:12" x14ac:dyDescent="0.2">
      <c r="A11" s="31">
        <v>10</v>
      </c>
      <c r="B11" s="34">
        <v>268.83895999999999</v>
      </c>
      <c r="C11" s="30">
        <v>31.20702</v>
      </c>
      <c r="D11" s="30">
        <v>1.0078</v>
      </c>
      <c r="E11" s="29"/>
      <c r="F11" s="29"/>
      <c r="G11" s="35">
        <f t="shared" si="0"/>
        <v>3.2386460831718149</v>
      </c>
      <c r="H11" s="118">
        <f t="shared" si="1"/>
        <v>3.2386460831718149</v>
      </c>
      <c r="J11" s="29"/>
      <c r="K11" s="29"/>
      <c r="L11" s="30"/>
    </row>
    <row r="12" spans="1:12" x14ac:dyDescent="0.2">
      <c r="A12" s="31">
        <v>25</v>
      </c>
      <c r="B12" s="34">
        <v>280.74806000000001</v>
      </c>
      <c r="C12" s="30">
        <v>29.446339999999999</v>
      </c>
      <c r="D12" s="30">
        <v>0.99641999999999997</v>
      </c>
      <c r="E12" s="29"/>
      <c r="F12" s="29"/>
      <c r="G12" s="9">
        <f t="shared" si="0"/>
        <v>3.6346490114422245</v>
      </c>
      <c r="H12" s="9">
        <f t="shared" si="1"/>
        <v>3.6346490114422245</v>
      </c>
      <c r="J12" s="29"/>
      <c r="K12" s="29"/>
      <c r="L12" s="30"/>
    </row>
    <row r="13" spans="1:12" x14ac:dyDescent="0.2">
      <c r="A13" s="31">
        <v>50</v>
      </c>
      <c r="B13" s="34">
        <v>289.11743999999999</v>
      </c>
      <c r="C13" s="30">
        <v>28.200089999999999</v>
      </c>
      <c r="D13" s="30">
        <v>0.98839999999999995</v>
      </c>
      <c r="E13" s="29"/>
      <c r="F13" s="29"/>
      <c r="G13" s="9">
        <f t="shared" si="0"/>
        <v>3.938112958216597</v>
      </c>
      <c r="H13" s="9">
        <f t="shared" si="1"/>
        <v>3.938112958216597</v>
      </c>
    </row>
    <row r="14" spans="1:12" x14ac:dyDescent="0.2">
      <c r="A14" s="31">
        <v>100</v>
      </c>
      <c r="B14" s="34">
        <v>296.42743999999999</v>
      </c>
      <c r="C14" s="30">
        <v>27.08362</v>
      </c>
      <c r="D14" s="30">
        <v>0.98133000000000004</v>
      </c>
      <c r="E14" s="29"/>
      <c r="F14" s="29"/>
      <c r="G14" s="9">
        <f t="shared" si="0"/>
        <v>4.2236291772652743</v>
      </c>
      <c r="H14" s="9">
        <f t="shared" si="1"/>
        <v>4.2236291772652743</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7.2200605721377649</v>
      </c>
      <c r="C19" s="30">
        <f t="shared" ref="C19:C26" si="2">A19/60</f>
        <v>8.3333333333333329E-2</v>
      </c>
      <c r="F19" s="29"/>
      <c r="G19" s="29"/>
      <c r="H19" s="29"/>
    </row>
    <row r="20" spans="1:8" x14ac:dyDescent="0.2">
      <c r="A20" s="29">
        <v>10</v>
      </c>
      <c r="B20" s="29">
        <f t="shared" ref="B20:B26" si="3">$B$11/($C$11+A20)^$D$11</f>
        <v>6.3375912112174753</v>
      </c>
      <c r="C20" s="30">
        <f t="shared" si="2"/>
        <v>0.16666666666666666</v>
      </c>
      <c r="F20" s="29"/>
      <c r="G20" s="29"/>
      <c r="H20" s="29"/>
    </row>
    <row r="21" spans="1:8" x14ac:dyDescent="0.2">
      <c r="A21" s="29">
        <v>30</v>
      </c>
      <c r="B21" s="29">
        <f t="shared" si="3"/>
        <v>4.2535733038908683</v>
      </c>
      <c r="C21" s="30">
        <f t="shared" si="2"/>
        <v>0.5</v>
      </c>
      <c r="F21" s="29"/>
      <c r="G21" s="29"/>
      <c r="H21" s="29"/>
    </row>
    <row r="22" spans="1:8" x14ac:dyDescent="0.2">
      <c r="A22" s="29">
        <v>60</v>
      </c>
      <c r="B22" s="29">
        <f t="shared" si="3"/>
        <v>2.8456122378113675</v>
      </c>
      <c r="C22" s="30">
        <f t="shared" si="2"/>
        <v>1</v>
      </c>
      <c r="F22" s="29"/>
      <c r="G22" s="29"/>
      <c r="H22" s="29"/>
    </row>
    <row r="23" spans="1:8" x14ac:dyDescent="0.2">
      <c r="A23" s="29">
        <v>180</v>
      </c>
      <c r="B23" s="29">
        <f t="shared" si="3"/>
        <v>1.2208185863293179</v>
      </c>
      <c r="C23" s="30">
        <f t="shared" si="2"/>
        <v>3</v>
      </c>
      <c r="F23" s="29"/>
      <c r="G23" s="29"/>
      <c r="H23" s="29"/>
    </row>
    <row r="24" spans="1:8" x14ac:dyDescent="0.2">
      <c r="A24" s="29">
        <v>360</v>
      </c>
      <c r="B24" s="29">
        <f t="shared" si="3"/>
        <v>0.65594102706338409</v>
      </c>
      <c r="C24" s="30">
        <f t="shared" si="2"/>
        <v>6</v>
      </c>
      <c r="F24" s="29"/>
      <c r="G24" s="33"/>
      <c r="H24" s="33"/>
    </row>
    <row r="25" spans="1:8" x14ac:dyDescent="0.2">
      <c r="A25" s="29">
        <v>840</v>
      </c>
      <c r="B25" s="29">
        <f t="shared" si="3"/>
        <v>0.2927102251729205</v>
      </c>
      <c r="C25" s="30">
        <f t="shared" si="2"/>
        <v>14</v>
      </c>
      <c r="F25" s="29"/>
      <c r="G25" s="9"/>
      <c r="H25" s="9"/>
    </row>
    <row r="26" spans="1:8" x14ac:dyDescent="0.2">
      <c r="A26" s="29">
        <v>1440</v>
      </c>
      <c r="B26" s="29">
        <f t="shared" si="3"/>
        <v>0.17262773114090899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276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2769" r:id="rId4"/>
      </mc:Fallback>
    </mc:AlternateContent>
  </oleObject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162</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241.75727000000001</v>
      </c>
      <c r="C9" s="30">
        <v>35.373510000000003</v>
      </c>
      <c r="D9" s="30">
        <v>1.0341100000000001</v>
      </c>
      <c r="E9" s="29"/>
      <c r="F9" s="29"/>
      <c r="G9" s="9">
        <f t="shared" ref="G9:G14" si="0">B9/(C9+$D$4)^D9</f>
        <v>2.4626835921492893</v>
      </c>
      <c r="H9" s="9">
        <f t="shared" ref="H9:H14" si="1">B9/(C9+$D$5)^D9</f>
        <v>2.4626835921492893</v>
      </c>
      <c r="J9" s="29"/>
      <c r="K9" s="29"/>
      <c r="L9" s="30"/>
    </row>
    <row r="10" spans="1:12" x14ac:dyDescent="0.2">
      <c r="A10" s="31">
        <v>5</v>
      </c>
      <c r="B10" s="34">
        <v>255.90621999999999</v>
      </c>
      <c r="C10" s="30">
        <v>33.153260000000003</v>
      </c>
      <c r="D10" s="30">
        <v>1.02024</v>
      </c>
      <c r="E10" s="29"/>
      <c r="F10" s="29"/>
      <c r="G10" s="9">
        <f t="shared" si="0"/>
        <v>2.8486644440161868</v>
      </c>
      <c r="H10" s="9">
        <f t="shared" si="1"/>
        <v>2.8486644440161868</v>
      </c>
      <c r="J10" s="29"/>
      <c r="K10" s="29"/>
      <c r="L10" s="30"/>
    </row>
    <row r="11" spans="1:12" x14ac:dyDescent="0.2">
      <c r="A11" s="31">
        <v>10</v>
      </c>
      <c r="B11" s="34">
        <v>265.82508000000001</v>
      </c>
      <c r="C11" s="30">
        <v>31.65579</v>
      </c>
      <c r="D11" s="30">
        <v>1.01068</v>
      </c>
      <c r="E11" s="29"/>
      <c r="F11" s="29"/>
      <c r="G11" s="35">
        <f t="shared" si="0"/>
        <v>3.1443742499110909</v>
      </c>
      <c r="H11" s="118">
        <f t="shared" si="1"/>
        <v>3.1443742499110909</v>
      </c>
      <c r="J11" s="29"/>
      <c r="K11" s="29"/>
      <c r="L11" s="30"/>
    </row>
    <row r="12" spans="1:12" x14ac:dyDescent="0.2">
      <c r="A12" s="31">
        <v>25</v>
      </c>
      <c r="B12" s="34">
        <v>278.87729000000002</v>
      </c>
      <c r="C12" s="30">
        <v>29.722819999999999</v>
      </c>
      <c r="D12" s="30">
        <v>0.99821000000000004</v>
      </c>
      <c r="E12" s="29"/>
      <c r="F12" s="29"/>
      <c r="G12" s="9">
        <f t="shared" si="0"/>
        <v>3.5697883468372158</v>
      </c>
      <c r="H12" s="9">
        <f t="shared" si="1"/>
        <v>3.5697883468372158</v>
      </c>
      <c r="J12" s="29"/>
      <c r="K12" s="29"/>
      <c r="L12" s="30"/>
    </row>
    <row r="13" spans="1:12" x14ac:dyDescent="0.2">
      <c r="A13" s="31">
        <v>50</v>
      </c>
      <c r="B13" s="34">
        <v>287.70310000000001</v>
      </c>
      <c r="C13" s="30">
        <v>28.412700000000001</v>
      </c>
      <c r="D13" s="30">
        <v>0.98975999999999997</v>
      </c>
      <c r="E13" s="29"/>
      <c r="F13" s="29"/>
      <c r="G13" s="9">
        <f t="shared" si="0"/>
        <v>3.8851623518593872</v>
      </c>
      <c r="H13" s="9">
        <f t="shared" si="1"/>
        <v>3.8851623518593872</v>
      </c>
    </row>
    <row r="14" spans="1:12" x14ac:dyDescent="0.2">
      <c r="A14" s="31">
        <v>100</v>
      </c>
      <c r="B14" s="34">
        <v>295.99838</v>
      </c>
      <c r="C14" s="30">
        <v>27.151769999999999</v>
      </c>
      <c r="D14" s="30">
        <v>0.98175000000000001</v>
      </c>
      <c r="E14" s="29"/>
      <c r="F14" s="29"/>
      <c r="G14" s="9">
        <f t="shared" si="0"/>
        <v>4.2061510243416977</v>
      </c>
      <c r="H14" s="9">
        <f t="shared" si="1"/>
        <v>4.2061510243416977</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6.9782789612415357</v>
      </c>
      <c r="C19" s="30">
        <f t="shared" ref="C19:C26" si="2">A19/60</f>
        <v>8.3333333333333329E-2</v>
      </c>
      <c r="F19" s="29"/>
      <c r="G19" s="29"/>
      <c r="H19" s="29"/>
    </row>
    <row r="20" spans="1:8" x14ac:dyDescent="0.2">
      <c r="A20" s="29">
        <v>10</v>
      </c>
      <c r="B20" s="29">
        <f t="shared" ref="B20:B26" si="3">$B$11/($C$11+A20)^$D$11</f>
        <v>6.1322866146600123</v>
      </c>
      <c r="C20" s="30">
        <f t="shared" si="2"/>
        <v>0.16666666666666666</v>
      </c>
      <c r="F20" s="29"/>
      <c r="G20" s="29"/>
      <c r="H20" s="29"/>
    </row>
    <row r="21" spans="1:8" x14ac:dyDescent="0.2">
      <c r="A21" s="29">
        <v>30</v>
      </c>
      <c r="B21" s="29">
        <f t="shared" si="3"/>
        <v>4.1257714435937372</v>
      </c>
      <c r="C21" s="30">
        <f t="shared" si="2"/>
        <v>0.5</v>
      </c>
      <c r="F21" s="29"/>
      <c r="G21" s="29"/>
      <c r="H21" s="29"/>
    </row>
    <row r="22" spans="1:8" x14ac:dyDescent="0.2">
      <c r="A22" s="29">
        <v>60</v>
      </c>
      <c r="B22" s="29">
        <f t="shared" si="3"/>
        <v>2.7636317944809035</v>
      </c>
      <c r="C22" s="30">
        <f t="shared" si="2"/>
        <v>1</v>
      </c>
      <c r="F22" s="29"/>
      <c r="G22" s="29"/>
      <c r="H22" s="29"/>
    </row>
    <row r="23" spans="1:8" x14ac:dyDescent="0.2">
      <c r="A23" s="29">
        <v>180</v>
      </c>
      <c r="B23" s="29">
        <f t="shared" si="3"/>
        <v>1.1861184729704159</v>
      </c>
      <c r="C23" s="30">
        <f t="shared" si="2"/>
        <v>3</v>
      </c>
      <c r="F23" s="29"/>
      <c r="G23" s="29"/>
      <c r="H23" s="29"/>
    </row>
    <row r="24" spans="1:8" x14ac:dyDescent="0.2">
      <c r="A24" s="29">
        <v>360</v>
      </c>
      <c r="B24" s="29">
        <f t="shared" si="3"/>
        <v>0.6367943205744121</v>
      </c>
      <c r="C24" s="30">
        <f t="shared" si="2"/>
        <v>6</v>
      </c>
      <c r="F24" s="29"/>
      <c r="G24" s="33"/>
      <c r="H24" s="33"/>
    </row>
    <row r="25" spans="1:8" x14ac:dyDescent="0.2">
      <c r="A25" s="29">
        <v>840</v>
      </c>
      <c r="B25" s="29">
        <f t="shared" si="3"/>
        <v>0.28369262715287358</v>
      </c>
      <c r="C25" s="30">
        <f t="shared" si="2"/>
        <v>14</v>
      </c>
      <c r="F25" s="29"/>
      <c r="G25" s="9"/>
      <c r="H25" s="9"/>
    </row>
    <row r="26" spans="1:8" x14ac:dyDescent="0.2">
      <c r="A26" s="29">
        <v>1440</v>
      </c>
      <c r="B26" s="29">
        <f t="shared" si="3"/>
        <v>0.1670927240174124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379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3793" r:id="rId4"/>
      </mc:Fallback>
    </mc:AlternateContent>
  </oleObject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163</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257.70308999999997</v>
      </c>
      <c r="C9" s="30">
        <v>32.87932</v>
      </c>
      <c r="D9" s="30">
        <v>1.0185</v>
      </c>
      <c r="E9" s="29"/>
      <c r="F9" s="29"/>
      <c r="G9" s="9">
        <f t="shared" ref="G9:G14" si="0">B9/(C9+$D$4)^D9</f>
        <v>2.9006066199619642</v>
      </c>
      <c r="H9" s="9">
        <f t="shared" ref="H9:H14" si="1">B9/(C9+$D$5)^D9</f>
        <v>2.9006066199619642</v>
      </c>
      <c r="J9" s="29"/>
      <c r="K9" s="29"/>
      <c r="L9" s="30"/>
    </row>
    <row r="10" spans="1:12" x14ac:dyDescent="0.2">
      <c r="A10" s="31">
        <v>5</v>
      </c>
      <c r="B10" s="34">
        <v>270.87616000000003</v>
      </c>
      <c r="C10" s="30">
        <v>30.90504</v>
      </c>
      <c r="D10" s="30">
        <v>1.0058499999999999</v>
      </c>
      <c r="E10" s="29"/>
      <c r="F10" s="29"/>
      <c r="G10" s="9">
        <f t="shared" si="0"/>
        <v>3.3037179079299444</v>
      </c>
      <c r="H10" s="9">
        <f t="shared" si="1"/>
        <v>3.3037179079299444</v>
      </c>
      <c r="J10" s="29"/>
      <c r="K10" s="29"/>
      <c r="L10" s="30"/>
    </row>
    <row r="11" spans="1:12" x14ac:dyDescent="0.2">
      <c r="A11" s="31">
        <v>10</v>
      </c>
      <c r="B11" s="34">
        <v>279.22149999999999</v>
      </c>
      <c r="C11" s="30">
        <v>29.671980000000001</v>
      </c>
      <c r="D11" s="30">
        <v>0.99787999999999999</v>
      </c>
      <c r="E11" s="29"/>
      <c r="F11" s="29"/>
      <c r="G11" s="35">
        <f t="shared" si="0"/>
        <v>3.5816556925946204</v>
      </c>
      <c r="H11" s="118">
        <f t="shared" si="1"/>
        <v>3.5816556925946204</v>
      </c>
      <c r="J11" s="29"/>
      <c r="K11" s="29"/>
      <c r="L11" s="30"/>
    </row>
    <row r="12" spans="1:12" x14ac:dyDescent="0.2">
      <c r="A12" s="31">
        <v>25</v>
      </c>
      <c r="B12" s="34">
        <v>289.92786999999998</v>
      </c>
      <c r="C12" s="30">
        <v>28.093499999999999</v>
      </c>
      <c r="D12" s="30">
        <v>0.98772000000000004</v>
      </c>
      <c r="E12" s="29"/>
      <c r="F12" s="29"/>
      <c r="G12" s="9">
        <f t="shared" si="0"/>
        <v>3.9662497222081883</v>
      </c>
      <c r="H12" s="9">
        <f t="shared" si="1"/>
        <v>3.9662497222081883</v>
      </c>
      <c r="J12" s="29"/>
      <c r="K12" s="29"/>
      <c r="L12" s="30"/>
    </row>
    <row r="13" spans="1:12" x14ac:dyDescent="0.2">
      <c r="A13" s="31">
        <v>50</v>
      </c>
      <c r="B13" s="34">
        <v>297.03444999999999</v>
      </c>
      <c r="C13" s="30">
        <v>26.990010000000002</v>
      </c>
      <c r="D13" s="30">
        <v>0.98073999999999995</v>
      </c>
      <c r="E13" s="29"/>
      <c r="F13" s="29"/>
      <c r="G13" s="9">
        <f t="shared" si="0"/>
        <v>4.2482345715934509</v>
      </c>
      <c r="H13" s="9">
        <f t="shared" si="1"/>
        <v>4.2482345715934509</v>
      </c>
    </row>
    <row r="14" spans="1:12" x14ac:dyDescent="0.2">
      <c r="A14" s="31">
        <v>100</v>
      </c>
      <c r="B14" s="34">
        <v>303.39913999999999</v>
      </c>
      <c r="C14" s="30">
        <v>25.972549999999998</v>
      </c>
      <c r="D14" s="30">
        <v>0.97448000000000001</v>
      </c>
      <c r="E14" s="29"/>
      <c r="F14" s="29"/>
      <c r="G14" s="9">
        <f t="shared" si="0"/>
        <v>4.517455725656804</v>
      </c>
      <c r="H14" s="9">
        <f t="shared" si="1"/>
        <v>4.517455725656804</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8.1139993222408719</v>
      </c>
      <c r="C19" s="30">
        <f t="shared" ref="C19:C26" si="2">A19/60</f>
        <v>8.3333333333333329E-2</v>
      </c>
      <c r="F19" s="29"/>
      <c r="G19" s="29"/>
      <c r="H19" s="29"/>
    </row>
    <row r="20" spans="1:8" x14ac:dyDescent="0.2">
      <c r="A20" s="29">
        <v>10</v>
      </c>
      <c r="B20" s="29">
        <f t="shared" ref="B20:B26" si="3">$B$11/($C$11+A20)^$D$11</f>
        <v>7.0933888069881101</v>
      </c>
      <c r="C20" s="30">
        <f t="shared" si="2"/>
        <v>0.16666666666666666</v>
      </c>
      <c r="F20" s="29"/>
      <c r="G20" s="29"/>
      <c r="H20" s="29"/>
    </row>
    <row r="21" spans="1:8" x14ac:dyDescent="0.2">
      <c r="A21" s="29">
        <v>30</v>
      </c>
      <c r="B21" s="29">
        <f t="shared" si="3"/>
        <v>4.7200113242563795</v>
      </c>
      <c r="C21" s="30">
        <f t="shared" si="2"/>
        <v>0.5</v>
      </c>
      <c r="F21" s="29"/>
      <c r="G21" s="29"/>
      <c r="H21" s="29"/>
    </row>
    <row r="22" spans="1:8" x14ac:dyDescent="0.2">
      <c r="A22" s="29">
        <v>60</v>
      </c>
      <c r="B22" s="29">
        <f t="shared" si="3"/>
        <v>3.143632202113591</v>
      </c>
      <c r="C22" s="30">
        <f t="shared" si="2"/>
        <v>1</v>
      </c>
      <c r="F22" s="29"/>
      <c r="G22" s="29"/>
      <c r="H22" s="29"/>
    </row>
    <row r="23" spans="1:8" x14ac:dyDescent="0.2">
      <c r="A23" s="29">
        <v>180</v>
      </c>
      <c r="B23" s="29">
        <f t="shared" si="3"/>
        <v>1.3468837867134253</v>
      </c>
      <c r="C23" s="30">
        <f t="shared" si="2"/>
        <v>3</v>
      </c>
      <c r="F23" s="29"/>
      <c r="G23" s="29"/>
      <c r="H23" s="29"/>
    </row>
    <row r="24" spans="1:8" x14ac:dyDescent="0.2">
      <c r="A24" s="29">
        <v>360</v>
      </c>
      <c r="B24" s="29">
        <f t="shared" si="3"/>
        <v>0.72567466285088722</v>
      </c>
      <c r="C24" s="30">
        <f t="shared" si="2"/>
        <v>6</v>
      </c>
      <c r="F24" s="29"/>
      <c r="G24" s="33"/>
      <c r="H24" s="33"/>
    </row>
    <row r="25" spans="1:8" x14ac:dyDescent="0.2">
      <c r="A25" s="29">
        <v>840</v>
      </c>
      <c r="B25" s="29">
        <f t="shared" si="3"/>
        <v>0.32570528955048439</v>
      </c>
      <c r="C25" s="30">
        <f t="shared" si="2"/>
        <v>14</v>
      </c>
      <c r="F25" s="29"/>
      <c r="G25" s="9"/>
      <c r="H25" s="9"/>
    </row>
    <row r="26" spans="1:8" x14ac:dyDescent="0.2">
      <c r="A26" s="29">
        <v>1440</v>
      </c>
      <c r="B26" s="29">
        <f t="shared" si="3"/>
        <v>0.19294918517435336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024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0241" r:id="rId4"/>
      </mc:Fallback>
    </mc:AlternateContent>
  </oleObject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164</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237.54922999999999</v>
      </c>
      <c r="C9" s="30">
        <v>36.058070000000001</v>
      </c>
      <c r="D9" s="30">
        <v>1.0383</v>
      </c>
      <c r="E9" s="29"/>
      <c r="F9" s="29"/>
      <c r="G9" s="9">
        <f t="shared" ref="G9:G14" si="0">B9/(C9+$D$4)^D9</f>
        <v>2.355419839829481</v>
      </c>
      <c r="H9" s="9">
        <f t="shared" ref="H9:H14" si="1">B9/(C9+$D$5)^D9</f>
        <v>2.355419839829481</v>
      </c>
      <c r="J9" s="29"/>
      <c r="K9" s="29"/>
      <c r="L9" s="30"/>
    </row>
    <row r="10" spans="1:12" x14ac:dyDescent="0.2">
      <c r="A10" s="31">
        <v>5</v>
      </c>
      <c r="B10" s="34">
        <v>253.72864999999999</v>
      </c>
      <c r="C10" s="30">
        <v>33.487439999999999</v>
      </c>
      <c r="D10" s="30">
        <v>1.0223599999999999</v>
      </c>
      <c r="E10" s="29"/>
      <c r="F10" s="29"/>
      <c r="G10" s="9">
        <f t="shared" si="0"/>
        <v>2.7865615263866106</v>
      </c>
      <c r="H10" s="9">
        <f t="shared" si="1"/>
        <v>2.7865615263866106</v>
      </c>
      <c r="J10" s="29"/>
      <c r="K10" s="29"/>
      <c r="L10" s="30"/>
    </row>
    <row r="11" spans="1:12" x14ac:dyDescent="0.2">
      <c r="A11" s="31">
        <v>10</v>
      </c>
      <c r="B11" s="34">
        <v>263.58690999999999</v>
      </c>
      <c r="C11" s="30">
        <v>31.99044</v>
      </c>
      <c r="D11" s="30">
        <v>1.0128299999999999</v>
      </c>
      <c r="E11" s="29"/>
      <c r="F11" s="29"/>
      <c r="G11" s="35">
        <f t="shared" si="0"/>
        <v>3.0756838888375726</v>
      </c>
      <c r="H11" s="118">
        <f t="shared" si="1"/>
        <v>3.0756838888375726</v>
      </c>
      <c r="J11" s="29"/>
      <c r="K11" s="29"/>
      <c r="L11" s="30"/>
    </row>
    <row r="12" spans="1:12" x14ac:dyDescent="0.2">
      <c r="A12" s="31">
        <v>25</v>
      </c>
      <c r="B12" s="34">
        <v>277.53219999999999</v>
      </c>
      <c r="C12" s="30">
        <v>29.921430000000001</v>
      </c>
      <c r="D12" s="30">
        <v>0.99948999999999999</v>
      </c>
      <c r="E12" s="29"/>
      <c r="F12" s="29"/>
      <c r="G12" s="9">
        <f t="shared" si="0"/>
        <v>3.5238873940104747</v>
      </c>
      <c r="H12" s="9">
        <f t="shared" si="1"/>
        <v>3.5238873940104747</v>
      </c>
      <c r="J12" s="29"/>
      <c r="K12" s="29"/>
      <c r="L12" s="30"/>
    </row>
    <row r="13" spans="1:12" x14ac:dyDescent="0.2">
      <c r="A13" s="31">
        <v>50</v>
      </c>
      <c r="B13" s="34">
        <v>286.46476000000001</v>
      </c>
      <c r="C13" s="30">
        <v>28.597670000000001</v>
      </c>
      <c r="D13" s="30">
        <v>0.99095</v>
      </c>
      <c r="E13" s="29"/>
      <c r="F13" s="29"/>
      <c r="G13" s="9">
        <f t="shared" si="0"/>
        <v>3.8393803536016722</v>
      </c>
      <c r="H13" s="9">
        <f t="shared" si="1"/>
        <v>3.8393803536016722</v>
      </c>
    </row>
    <row r="14" spans="1:12" x14ac:dyDescent="0.2">
      <c r="A14" s="31">
        <v>100</v>
      </c>
      <c r="B14" s="34">
        <v>295.10935000000001</v>
      </c>
      <c r="C14" s="30">
        <v>27.28867</v>
      </c>
      <c r="D14" s="30">
        <v>0.98262000000000005</v>
      </c>
      <c r="E14" s="29"/>
      <c r="F14" s="29"/>
      <c r="G14" s="9">
        <f t="shared" si="0"/>
        <v>4.1703740633075954</v>
      </c>
      <c r="H14" s="9">
        <f t="shared" si="1"/>
        <v>4.1703740633075954</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6.8032393962179274</v>
      </c>
      <c r="C19" s="30">
        <f t="shared" ref="C19:C26" si="2">A19/60</f>
        <v>8.3333333333333329E-2</v>
      </c>
      <c r="F19" s="29"/>
      <c r="G19" s="29"/>
      <c r="H19" s="29"/>
    </row>
    <row r="20" spans="1:8" x14ac:dyDescent="0.2">
      <c r="A20" s="29">
        <v>10</v>
      </c>
      <c r="B20" s="29">
        <f t="shared" ref="B20:B26" si="3">$B$11/($C$11+A20)^$D$11</f>
        <v>5.9834049106499503</v>
      </c>
      <c r="C20" s="30">
        <f t="shared" si="2"/>
        <v>0.16666666666666666</v>
      </c>
      <c r="F20" s="29"/>
      <c r="G20" s="29"/>
      <c r="H20" s="29"/>
    </row>
    <row r="21" spans="1:8" x14ac:dyDescent="0.2">
      <c r="A21" s="29">
        <v>30</v>
      </c>
      <c r="B21" s="29">
        <f t="shared" si="3"/>
        <v>4.0327713015819251</v>
      </c>
      <c r="C21" s="30">
        <f t="shared" si="2"/>
        <v>0.5</v>
      </c>
      <c r="F21" s="29"/>
      <c r="G21" s="29"/>
      <c r="H21" s="29"/>
    </row>
    <row r="22" spans="1:8" x14ac:dyDescent="0.2">
      <c r="A22" s="29">
        <v>60</v>
      </c>
      <c r="B22" s="29">
        <f t="shared" si="3"/>
        <v>2.7038732174549174</v>
      </c>
      <c r="C22" s="30">
        <f t="shared" si="2"/>
        <v>1</v>
      </c>
      <c r="F22" s="29"/>
      <c r="G22" s="29"/>
      <c r="H22" s="29"/>
    </row>
    <row r="23" spans="1:8" x14ac:dyDescent="0.2">
      <c r="A23" s="29">
        <v>180</v>
      </c>
      <c r="B23" s="29">
        <f t="shared" si="3"/>
        <v>1.1608094229339996</v>
      </c>
      <c r="C23" s="30">
        <f t="shared" si="2"/>
        <v>3</v>
      </c>
      <c r="F23" s="29"/>
      <c r="G23" s="29"/>
      <c r="H23" s="29"/>
    </row>
    <row r="24" spans="1:8" x14ac:dyDescent="0.2">
      <c r="A24" s="29">
        <v>360</v>
      </c>
      <c r="B24" s="29">
        <f t="shared" si="3"/>
        <v>0.62284020527991935</v>
      </c>
      <c r="C24" s="30">
        <f t="shared" si="2"/>
        <v>6</v>
      </c>
      <c r="F24" s="29"/>
      <c r="G24" s="33"/>
      <c r="H24" s="33"/>
    </row>
    <row r="25" spans="1:8" x14ac:dyDescent="0.2">
      <c r="A25" s="29">
        <v>840</v>
      </c>
      <c r="B25" s="29">
        <f t="shared" si="3"/>
        <v>0.27713115381530307</v>
      </c>
      <c r="C25" s="30">
        <f t="shared" si="2"/>
        <v>14</v>
      </c>
      <c r="F25" s="29"/>
      <c r="G25" s="9"/>
      <c r="H25" s="9"/>
    </row>
    <row r="26" spans="1:8" x14ac:dyDescent="0.2">
      <c r="A26" s="29">
        <v>1440</v>
      </c>
      <c r="B26" s="29">
        <f t="shared" si="3"/>
        <v>0.16307020925218327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481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4817" r:id="rId4"/>
      </mc:Fallback>
    </mc:AlternateContent>
  </oleObject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165</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240.26568</v>
      </c>
      <c r="C9" s="30">
        <v>35.615130000000001</v>
      </c>
      <c r="D9" s="30">
        <v>1.03559</v>
      </c>
      <c r="E9" s="29"/>
      <c r="F9" s="29"/>
      <c r="G9" s="9">
        <f t="shared" ref="G9:G14" si="0">B9/(C9+$D$4)^D9</f>
        <v>2.424286863009343</v>
      </c>
      <c r="H9" s="9">
        <f t="shared" ref="H9:H14" si="1">B9/(C9+$D$5)^D9</f>
        <v>2.424286863009343</v>
      </c>
      <c r="J9" s="29"/>
      <c r="K9" s="29"/>
      <c r="L9" s="30"/>
    </row>
    <row r="10" spans="1:12" x14ac:dyDescent="0.2">
      <c r="A10" s="31">
        <v>5</v>
      </c>
      <c r="B10" s="34">
        <v>254.71848</v>
      </c>
      <c r="C10" s="30">
        <v>33.335520000000002</v>
      </c>
      <c r="D10" s="30">
        <v>1.0214000000000001</v>
      </c>
      <c r="E10" s="29"/>
      <c r="F10" s="29"/>
      <c r="G10" s="9">
        <f t="shared" si="0"/>
        <v>2.8146019451495023</v>
      </c>
      <c r="H10" s="9">
        <f t="shared" si="1"/>
        <v>2.8146019451495023</v>
      </c>
      <c r="J10" s="29"/>
      <c r="K10" s="29"/>
      <c r="L10" s="30"/>
    </row>
    <row r="11" spans="1:12" x14ac:dyDescent="0.2">
      <c r="A11" s="31">
        <v>10</v>
      </c>
      <c r="B11" s="34">
        <v>264.71357</v>
      </c>
      <c r="C11" s="30">
        <v>31.821919999999999</v>
      </c>
      <c r="D11" s="30">
        <v>1.0117499999999999</v>
      </c>
      <c r="E11" s="29"/>
      <c r="F11" s="29"/>
      <c r="G11" s="35">
        <f t="shared" si="0"/>
        <v>3.1100712041474727</v>
      </c>
      <c r="H11" s="118">
        <f t="shared" si="1"/>
        <v>3.1100712041474727</v>
      </c>
      <c r="J11" s="29"/>
      <c r="K11" s="29"/>
      <c r="L11" s="30"/>
    </row>
    <row r="12" spans="1:12" x14ac:dyDescent="0.2">
      <c r="A12" s="31">
        <v>25</v>
      </c>
      <c r="B12" s="34">
        <v>276.98802000000001</v>
      </c>
      <c r="C12" s="30">
        <v>30.00177</v>
      </c>
      <c r="D12" s="30">
        <v>1.0000100000000001</v>
      </c>
      <c r="E12" s="29"/>
      <c r="F12" s="29"/>
      <c r="G12" s="9">
        <f t="shared" si="0"/>
        <v>3.5054295207629314</v>
      </c>
      <c r="H12" s="9">
        <f t="shared" si="1"/>
        <v>3.5054295207629314</v>
      </c>
      <c r="J12" s="29"/>
      <c r="K12" s="29"/>
      <c r="L12" s="30"/>
    </row>
    <row r="13" spans="1:12" x14ac:dyDescent="0.2">
      <c r="A13" s="31">
        <v>50</v>
      </c>
      <c r="B13" s="34">
        <v>286.34575000000001</v>
      </c>
      <c r="C13" s="30">
        <v>28.615590000000001</v>
      </c>
      <c r="D13" s="30">
        <v>0.99107000000000001</v>
      </c>
      <c r="E13" s="29"/>
      <c r="F13" s="29"/>
      <c r="G13" s="9">
        <f t="shared" si="0"/>
        <v>3.834904157425266</v>
      </c>
      <c r="H13" s="9">
        <f t="shared" si="1"/>
        <v>3.834904157425266</v>
      </c>
    </row>
    <row r="14" spans="1:12" x14ac:dyDescent="0.2">
      <c r="A14" s="31">
        <v>100</v>
      </c>
      <c r="B14" s="34">
        <v>294.57238000000001</v>
      </c>
      <c r="C14" s="30">
        <v>27.372150000000001</v>
      </c>
      <c r="D14" s="30">
        <v>0.98314000000000001</v>
      </c>
      <c r="E14" s="29"/>
      <c r="F14" s="29"/>
      <c r="G14" s="9">
        <f t="shared" si="0"/>
        <v>4.1489505369910011</v>
      </c>
      <c r="H14" s="9">
        <f t="shared" si="1"/>
        <v>4.1489505369910011</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6.8907742862280994</v>
      </c>
      <c r="C19" s="30">
        <f t="shared" ref="C19:C26" si="2">A19/60</f>
        <v>8.3333333333333329E-2</v>
      </c>
      <c r="F19" s="29"/>
      <c r="G19" s="29"/>
      <c r="H19" s="29"/>
    </row>
    <row r="20" spans="1:8" x14ac:dyDescent="0.2">
      <c r="A20" s="29">
        <v>10</v>
      </c>
      <c r="B20" s="29">
        <f t="shared" ref="B20:B26" si="3">$B$11/($C$11+A20)^$D$11</f>
        <v>6.0578810511672234</v>
      </c>
      <c r="C20" s="30">
        <f t="shared" si="2"/>
        <v>0.16666666666666666</v>
      </c>
      <c r="F20" s="29"/>
      <c r="G20" s="29"/>
      <c r="H20" s="29"/>
    </row>
    <row r="21" spans="1:8" x14ac:dyDescent="0.2">
      <c r="A21" s="29">
        <v>30</v>
      </c>
      <c r="B21" s="29">
        <f t="shared" si="3"/>
        <v>4.0793201635029686</v>
      </c>
      <c r="C21" s="30">
        <f t="shared" si="2"/>
        <v>0.5</v>
      </c>
      <c r="F21" s="29"/>
      <c r="G21" s="29"/>
      <c r="H21" s="29"/>
    </row>
    <row r="22" spans="1:8" x14ac:dyDescent="0.2">
      <c r="A22" s="29">
        <v>60</v>
      </c>
      <c r="B22" s="29">
        <f t="shared" si="3"/>
        <v>2.7337904094640328</v>
      </c>
      <c r="C22" s="30">
        <f t="shared" si="2"/>
        <v>1</v>
      </c>
      <c r="F22" s="29"/>
      <c r="G22" s="29"/>
      <c r="H22" s="29"/>
    </row>
    <row r="23" spans="1:8" x14ac:dyDescent="0.2">
      <c r="A23" s="29">
        <v>180</v>
      </c>
      <c r="B23" s="29">
        <f t="shared" si="3"/>
        <v>1.1734785262492908</v>
      </c>
      <c r="C23" s="30">
        <f t="shared" si="2"/>
        <v>3</v>
      </c>
      <c r="F23" s="29"/>
      <c r="G23" s="29"/>
      <c r="H23" s="29"/>
    </row>
    <row r="24" spans="1:8" x14ac:dyDescent="0.2">
      <c r="A24" s="29">
        <v>360</v>
      </c>
      <c r="B24" s="29">
        <f t="shared" si="3"/>
        <v>0.62982324345812346</v>
      </c>
      <c r="C24" s="30">
        <f t="shared" si="2"/>
        <v>6</v>
      </c>
      <c r="F24" s="29"/>
      <c r="G24" s="33"/>
      <c r="H24" s="33"/>
    </row>
    <row r="25" spans="1:8" x14ac:dyDescent="0.2">
      <c r="A25" s="29">
        <v>840</v>
      </c>
      <c r="B25" s="29">
        <f t="shared" si="3"/>
        <v>0.28041316187999193</v>
      </c>
      <c r="C25" s="30">
        <f t="shared" si="2"/>
        <v>14</v>
      </c>
      <c r="F25" s="29"/>
      <c r="G25" s="9"/>
      <c r="H25" s="9"/>
    </row>
    <row r="26" spans="1:8" x14ac:dyDescent="0.2">
      <c r="A26" s="29">
        <v>1440</v>
      </c>
      <c r="B26" s="29">
        <f t="shared" si="3"/>
        <v>0.16508158844122345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584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584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J131"/>
  <sheetViews>
    <sheetView tabSelected="1" view="pageLayout" zoomScaleNormal="100" zoomScaleSheetLayoutView="100" workbookViewId="0">
      <selection activeCell="I21" sqref="I21"/>
    </sheetView>
  </sheetViews>
  <sheetFormatPr defaultColWidth="9.140625" defaultRowHeight="12.75" x14ac:dyDescent="0.2"/>
  <cols>
    <col min="1" max="1" width="20.85546875" style="43" customWidth="1"/>
    <col min="2" max="2" width="8.7109375" style="43" customWidth="1"/>
    <col min="3" max="3" width="9.28515625" style="43" customWidth="1"/>
    <col min="4" max="4" width="6.28515625" style="43" customWidth="1"/>
    <col min="5" max="5" width="8.42578125" style="43" customWidth="1"/>
    <col min="6" max="6" width="14.140625" style="43" customWidth="1"/>
    <col min="7" max="7" width="11" style="43" customWidth="1"/>
    <col min="8" max="8" width="9.42578125" style="43" customWidth="1"/>
    <col min="9" max="9" width="6.85546875" style="43" customWidth="1"/>
    <col min="10" max="10" width="12" style="43" customWidth="1"/>
    <col min="11" max="16384" width="9.140625" style="43"/>
  </cols>
  <sheetData>
    <row r="2" spans="1:10" s="44" customFormat="1" x14ac:dyDescent="0.2">
      <c r="A2" s="109" t="s">
        <v>426</v>
      </c>
    </row>
    <row r="3" spans="1:10" x14ac:dyDescent="0.2">
      <c r="A3" s="110" t="s">
        <v>427</v>
      </c>
      <c r="B3" s="46"/>
      <c r="C3" s="46"/>
      <c r="D3" s="46"/>
      <c r="E3" s="46"/>
      <c r="F3" s="46"/>
      <c r="G3" s="46"/>
    </row>
    <row r="4" spans="1:10" ht="8.25" customHeight="1" x14ac:dyDescent="0.2"/>
    <row r="5" spans="1:10" ht="23.25" customHeight="1" x14ac:dyDescent="0.2">
      <c r="A5" s="176" t="s">
        <v>431</v>
      </c>
      <c r="B5" s="176"/>
      <c r="C5" s="176"/>
      <c r="D5" s="176"/>
      <c r="E5" s="176"/>
      <c r="F5" s="176"/>
      <c r="G5" s="176"/>
      <c r="H5" s="176"/>
      <c r="I5" s="176"/>
      <c r="J5" s="169"/>
    </row>
    <row r="6" spans="1:10" ht="34.5" customHeight="1" x14ac:dyDescent="0.2">
      <c r="A6" s="176"/>
      <c r="B6" s="176"/>
      <c r="C6" s="176"/>
      <c r="D6" s="176"/>
      <c r="E6" s="176"/>
      <c r="F6" s="176"/>
      <c r="G6" s="176"/>
      <c r="H6" s="176"/>
      <c r="I6" s="176"/>
      <c r="J6" s="170"/>
    </row>
    <row r="7" spans="1:10" x14ac:dyDescent="0.2">
      <c r="A7" s="46"/>
      <c r="B7" s="46"/>
      <c r="C7" s="46"/>
      <c r="D7" s="46"/>
      <c r="E7" s="46"/>
      <c r="F7" s="46"/>
      <c r="G7" s="46"/>
      <c r="H7" s="46"/>
      <c r="I7" s="46"/>
      <c r="J7" s="46"/>
    </row>
    <row r="8" spans="1:10" x14ac:dyDescent="0.2">
      <c r="A8" s="47" t="s">
        <v>0</v>
      </c>
      <c r="B8" s="46"/>
      <c r="C8" s="46"/>
      <c r="D8" s="46"/>
      <c r="E8" s="46"/>
      <c r="F8" s="46"/>
      <c r="G8" s="46"/>
      <c r="H8" s="46"/>
      <c r="I8" s="46"/>
      <c r="J8" s="46"/>
    </row>
    <row r="9" spans="1:10" x14ac:dyDescent="0.2">
      <c r="A9" s="46"/>
      <c r="B9" s="46"/>
      <c r="C9" s="46"/>
      <c r="D9" s="46"/>
      <c r="E9" s="46"/>
      <c r="F9" s="46"/>
      <c r="G9" s="46"/>
      <c r="H9" s="46"/>
      <c r="I9" s="46"/>
      <c r="J9" s="46"/>
    </row>
    <row r="10" spans="1:10" x14ac:dyDescent="0.2">
      <c r="A10" s="46" t="s">
        <v>1</v>
      </c>
      <c r="B10" s="46"/>
      <c r="C10" s="46"/>
      <c r="E10" s="115">
        <v>5.54</v>
      </c>
      <c r="F10" s="46"/>
      <c r="G10" s="46"/>
      <c r="H10" s="46"/>
      <c r="J10" s="46"/>
    </row>
    <row r="11" spans="1:10" x14ac:dyDescent="0.2">
      <c r="A11" s="46"/>
      <c r="B11" s="46"/>
      <c r="C11" s="46"/>
      <c r="E11" s="46"/>
      <c r="F11" s="46"/>
      <c r="G11" s="46"/>
      <c r="H11" s="46"/>
      <c r="I11" s="46"/>
      <c r="J11" s="46"/>
    </row>
    <row r="12" spans="1:10" x14ac:dyDescent="0.2">
      <c r="A12" s="49" t="s">
        <v>4</v>
      </c>
      <c r="B12" s="49"/>
      <c r="C12" s="49"/>
      <c r="D12" s="49"/>
      <c r="E12" s="46"/>
      <c r="F12" s="46"/>
      <c r="G12" s="46"/>
      <c r="H12" s="46"/>
      <c r="I12" s="46"/>
      <c r="J12" s="46"/>
    </row>
    <row r="13" spans="1:10" ht="13.5" customHeight="1" x14ac:dyDescent="0.2">
      <c r="A13" s="163" t="s">
        <v>402</v>
      </c>
      <c r="B13" s="178" t="s">
        <v>407</v>
      </c>
      <c r="C13" s="178"/>
      <c r="D13" s="46"/>
      <c r="E13" s="46"/>
      <c r="F13" s="46"/>
      <c r="G13" s="46"/>
      <c r="H13" s="46"/>
      <c r="I13" s="46"/>
      <c r="J13" s="46"/>
    </row>
    <row r="14" spans="1:10" ht="13.5" customHeight="1" x14ac:dyDescent="0.2">
      <c r="A14" s="46"/>
      <c r="B14" s="46"/>
      <c r="C14" s="46"/>
      <c r="D14" s="46"/>
      <c r="E14" s="46"/>
      <c r="F14" s="46"/>
      <c r="G14" s="46"/>
      <c r="H14" s="46"/>
      <c r="I14" s="46"/>
      <c r="J14" s="46"/>
    </row>
    <row r="15" spans="1:10" x14ac:dyDescent="0.2">
      <c r="A15" s="46"/>
      <c r="B15" s="46"/>
      <c r="C15" s="50" t="s">
        <v>2</v>
      </c>
      <c r="D15" s="50"/>
      <c r="E15" s="50" t="s">
        <v>5</v>
      </c>
      <c r="F15" s="180" t="s">
        <v>6</v>
      </c>
      <c r="G15" s="180"/>
      <c r="H15" s="46"/>
      <c r="I15" s="46"/>
      <c r="J15" s="46"/>
    </row>
    <row r="16" spans="1:10" x14ac:dyDescent="0.2">
      <c r="A16" s="46"/>
      <c r="B16" s="46"/>
      <c r="C16" s="115">
        <v>0.3</v>
      </c>
      <c r="D16" s="50" t="s">
        <v>3</v>
      </c>
      <c r="E16" s="48">
        <f>IF(ISBLANK(F16),0,IF($B$13='Runoff Coeficients (C)'!$I$8,VLOOKUP(F16,'Runoff Coeficients (C)'!$C$8:$F$40,2,FALSE),IF($B$13='Runoff Coeficients (C)'!$I$9,VLOOKUP(F16,'Runoff Coeficients (C)'!$C$8:$F$40,3,FALSE),IF($B$13='Runoff Coeficients (C)'!$I$10,VLOOKUP(F16,'Runoff Coeficients (C)'!$C$8:$F$40,4,FALSE),"UPDATE"))))</f>
        <v>0.9</v>
      </c>
      <c r="F16" s="177" t="s">
        <v>372</v>
      </c>
      <c r="G16" s="177"/>
      <c r="H16" s="46"/>
      <c r="I16" s="46"/>
      <c r="J16" s="46"/>
    </row>
    <row r="17" spans="1:10" x14ac:dyDescent="0.2">
      <c r="A17" s="46"/>
      <c r="B17" s="46"/>
      <c r="C17" s="115">
        <v>0.36</v>
      </c>
      <c r="D17" s="50" t="s">
        <v>3</v>
      </c>
      <c r="E17" s="48">
        <f>IF(ISBLANK(F17),0,IF($B$13='Runoff Coeficients (C)'!$I$8,VLOOKUP(F17,'Runoff Coeficients (C)'!$C$8:$F$40,2,FALSE),IF($B$13='Runoff Coeficients (C)'!$I$9,VLOOKUP(F17,'Runoff Coeficients (C)'!$C$8:$F$40,3,FALSE),IF($B$13='Runoff Coeficients (C)'!$I$10,VLOOKUP(F17,'Runoff Coeficients (C)'!$C$8:$F$40,4,FALSE),"UPDATE"))))</f>
        <v>0.25</v>
      </c>
      <c r="F17" s="177" t="s">
        <v>385</v>
      </c>
      <c r="G17" s="177"/>
      <c r="H17" s="46"/>
      <c r="I17" s="46"/>
      <c r="J17" s="46"/>
    </row>
    <row r="18" spans="1:10" x14ac:dyDescent="0.2">
      <c r="A18" s="46"/>
      <c r="B18" s="46"/>
      <c r="C18" s="115">
        <v>0</v>
      </c>
      <c r="D18" s="50" t="s">
        <v>3</v>
      </c>
      <c r="E18" s="48">
        <f>IF(ISBLANK(F18),0,IF($B$13='Runoff Coeficients (C)'!$I$8,VLOOKUP(F18,'Runoff Coeficients (C)'!$C$8:$F$40,2,FALSE),IF($B$13='Runoff Coeficients (C)'!$I$9,VLOOKUP(F18,'Runoff Coeficients (C)'!$C$8:$F$40,3,FALSE),IF($B$13='Runoff Coeficients (C)'!$I$10,VLOOKUP(F18,'Runoff Coeficients (C)'!$C$8:$F$40,4,FALSE),"UPDATE"))))</f>
        <v>0.3</v>
      </c>
      <c r="F18" s="177" t="s">
        <v>396</v>
      </c>
      <c r="G18" s="177"/>
      <c r="H18" s="46"/>
      <c r="I18" s="46"/>
      <c r="J18" s="46"/>
    </row>
    <row r="19" spans="1:10" x14ac:dyDescent="0.2">
      <c r="A19" s="46"/>
      <c r="B19" s="46"/>
      <c r="C19" s="115">
        <v>0</v>
      </c>
      <c r="D19" s="50" t="s">
        <v>3</v>
      </c>
      <c r="E19" s="48">
        <f>IF(ISBLANK(F19),0,IF($B$13='Runoff Coeficients (C)'!$I$8,VLOOKUP(F19,'Runoff Coeficients (C)'!$C$8:$F$40,2,FALSE),IF($B$13='Runoff Coeficients (C)'!$I$9,VLOOKUP(F19,'Runoff Coeficients (C)'!$C$8:$F$40,3,FALSE),IF($B$13='Runoff Coeficients (C)'!$I$10,VLOOKUP(F19,'Runoff Coeficients (C)'!$C$8:$F$40,4,FALSE),"UPDATE"))))</f>
        <v>0.5</v>
      </c>
      <c r="F19" s="177" t="s">
        <v>381</v>
      </c>
      <c r="G19" s="177"/>
      <c r="H19" s="46"/>
      <c r="I19" s="46"/>
      <c r="J19" s="46"/>
    </row>
    <row r="20" spans="1:10" x14ac:dyDescent="0.2">
      <c r="A20" s="46"/>
      <c r="B20" s="46"/>
      <c r="C20" s="115">
        <v>4.88</v>
      </c>
      <c r="D20" s="50" t="s">
        <v>3</v>
      </c>
      <c r="E20" s="48">
        <f>IF(ISBLANK(F20),0,IF($B$13='Runoff Coeficients (C)'!$I$8,VLOOKUP(F20,'Runoff Coeficients (C)'!$C$8:$F$40,2,FALSE),IF($B$13='Runoff Coeficients (C)'!$I$9,VLOOKUP(F20,'Runoff Coeficients (C)'!$C$8:$F$40,3,FALSE),IF($B$13='Runoff Coeficients (C)'!$I$10,VLOOKUP(F20,'Runoff Coeficients (C)'!$C$8:$F$40,4,FALSE),"UPDATE"))))</f>
        <v>0.15</v>
      </c>
      <c r="F20" s="177" t="s">
        <v>395</v>
      </c>
      <c r="G20" s="177"/>
      <c r="H20" s="46"/>
      <c r="I20" s="46"/>
      <c r="J20" s="46"/>
    </row>
    <row r="21" spans="1:10" x14ac:dyDescent="0.2">
      <c r="A21" s="46"/>
      <c r="B21" s="46"/>
      <c r="C21" s="115">
        <v>0</v>
      </c>
      <c r="D21" s="50" t="s">
        <v>3</v>
      </c>
      <c r="E21" s="48">
        <f>IF(ISBLANK(F21),0,IF($B$13='Runoff Coeficients (C)'!$I$8,VLOOKUP(F21,'Runoff Coeficients (C)'!$C$8:$F$40,2,FALSE),IF($B$13='Runoff Coeficients (C)'!$I$9,VLOOKUP(F21,'Runoff Coeficients (C)'!$C$8:$F$40,3,FALSE),IF($B$13='Runoff Coeficients (C)'!$I$10,VLOOKUP(F21,'Runoff Coeficients (C)'!$C$8:$F$40,4,FALSE),"UPDATE"))))</f>
        <v>0.2</v>
      </c>
      <c r="F21" s="177" t="s">
        <v>397</v>
      </c>
      <c r="G21" s="177"/>
      <c r="H21" s="46"/>
      <c r="I21" s="46"/>
      <c r="J21" s="46"/>
    </row>
    <row r="22" spans="1:10" x14ac:dyDescent="0.2">
      <c r="A22" s="46"/>
      <c r="B22" s="46"/>
      <c r="C22" s="46"/>
      <c r="D22" s="46"/>
      <c r="E22" s="46"/>
      <c r="F22" s="46"/>
      <c r="G22" s="46"/>
      <c r="H22" s="46"/>
      <c r="I22" s="46"/>
      <c r="J22" s="46"/>
    </row>
    <row r="23" spans="1:10" x14ac:dyDescent="0.2">
      <c r="A23" s="46"/>
      <c r="B23" s="46"/>
      <c r="C23" s="46"/>
      <c r="D23" s="46"/>
      <c r="E23" s="46"/>
      <c r="F23" s="46" t="s">
        <v>7</v>
      </c>
      <c r="G23" s="46"/>
      <c r="H23" s="52">
        <f>((C16*E16)+(C17*E17)+(C21*E21)+(C20*E20)+(C18*E18)+(C19*E19))/E10</f>
        <v>0.19711191335740075</v>
      </c>
      <c r="I23" s="46"/>
      <c r="J23" s="46"/>
    </row>
    <row r="24" spans="1:10" x14ac:dyDescent="0.2">
      <c r="A24" s="46"/>
      <c r="B24" s="46"/>
      <c r="C24" s="46"/>
      <c r="D24" s="46"/>
      <c r="E24" s="46"/>
      <c r="F24" s="46"/>
      <c r="G24" s="46"/>
      <c r="H24" s="46"/>
      <c r="I24" s="46"/>
      <c r="J24" s="46"/>
    </row>
    <row r="25" spans="1:10" x14ac:dyDescent="0.2">
      <c r="A25" s="49" t="s">
        <v>10</v>
      </c>
      <c r="B25" s="49"/>
      <c r="C25" s="49"/>
      <c r="D25" s="49"/>
      <c r="E25" s="46"/>
      <c r="F25" s="46"/>
      <c r="G25" s="46"/>
      <c r="H25" s="46"/>
      <c r="I25" s="46"/>
      <c r="J25" s="46"/>
    </row>
    <row r="26" spans="1:10" x14ac:dyDescent="0.2">
      <c r="A26" s="142" t="s">
        <v>159</v>
      </c>
      <c r="B26" s="46"/>
      <c r="C26" s="46"/>
      <c r="D26" s="46"/>
      <c r="E26" s="46"/>
      <c r="F26" s="46"/>
      <c r="G26" s="46"/>
      <c r="H26" s="46"/>
      <c r="I26" s="46"/>
      <c r="J26" s="46"/>
    </row>
    <row r="27" spans="1:10" x14ac:dyDescent="0.2">
      <c r="A27" s="46"/>
      <c r="B27" s="46"/>
      <c r="C27" s="46" t="s">
        <v>8</v>
      </c>
      <c r="D27" s="46"/>
      <c r="E27" s="46"/>
      <c r="F27" s="53">
        <f>'tc-pre'!D48</f>
        <v>0.81686055729959095</v>
      </c>
      <c r="G27" s="46" t="s">
        <v>11</v>
      </c>
      <c r="H27" s="46"/>
      <c r="I27" s="46"/>
      <c r="J27" s="46"/>
    </row>
    <row r="28" spans="1:10" x14ac:dyDescent="0.2">
      <c r="A28" s="46"/>
      <c r="B28" s="46"/>
      <c r="C28" s="46" t="s">
        <v>9</v>
      </c>
      <c r="D28" s="46"/>
      <c r="E28" s="46"/>
      <c r="F28" s="46"/>
      <c r="G28" s="46"/>
      <c r="H28" s="46"/>
      <c r="I28" s="46"/>
      <c r="J28" s="46"/>
    </row>
    <row r="29" spans="1:10" x14ac:dyDescent="0.2">
      <c r="A29" s="46"/>
      <c r="B29" s="46"/>
      <c r="C29" s="46"/>
      <c r="D29" s="46"/>
      <c r="E29" s="46"/>
      <c r="F29" s="46"/>
      <c r="G29" s="46"/>
      <c r="H29" s="46"/>
      <c r="I29" s="46"/>
      <c r="J29" s="46"/>
    </row>
    <row r="30" spans="1:10" x14ac:dyDescent="0.2">
      <c r="A30" s="46"/>
      <c r="B30" s="46"/>
      <c r="C30" s="46" t="s">
        <v>12</v>
      </c>
      <c r="D30" s="46"/>
      <c r="E30" s="46"/>
      <c r="F30" s="46"/>
      <c r="G30" s="46"/>
      <c r="H30" s="46"/>
      <c r="I30" s="46"/>
      <c r="J30" s="46"/>
    </row>
    <row r="31" spans="1:10" x14ac:dyDescent="0.2">
      <c r="A31" s="46"/>
      <c r="B31" s="46"/>
      <c r="C31" s="46"/>
      <c r="D31" s="46"/>
      <c r="E31" s="46"/>
      <c r="F31" s="46"/>
      <c r="G31" s="46"/>
      <c r="H31" s="46"/>
      <c r="I31" s="46"/>
      <c r="J31" s="46"/>
    </row>
    <row r="32" spans="1:10" x14ac:dyDescent="0.2">
      <c r="A32" s="46"/>
      <c r="B32" s="46"/>
      <c r="C32" s="46"/>
      <c r="D32" s="54" t="s">
        <v>13</v>
      </c>
      <c r="E32" s="54"/>
      <c r="F32" s="54"/>
      <c r="G32" s="48" t="s">
        <v>14</v>
      </c>
      <c r="H32" s="55"/>
      <c r="I32" s="46"/>
      <c r="J32" s="46"/>
    </row>
    <row r="33" spans="1:10" x14ac:dyDescent="0.2">
      <c r="A33" s="46"/>
      <c r="B33" s="46"/>
      <c r="C33" s="46"/>
      <c r="D33" s="46">
        <v>2</v>
      </c>
      <c r="E33" s="46" t="s">
        <v>15</v>
      </c>
      <c r="F33" s="46"/>
      <c r="G33" s="56">
        <f>IF($A$26=Ref!$A$2,Abbeville!G9,0)+IF($A$26=Ref!$A$3,Aiken!G9,0)+IF($A$26=Ref!$A$4,Anderson!G9,0)+IF($A$26=Ref!$A$5,Berkeley!G9,0)+IF($A$26=Ref!$A$6,Camden!G9,0)+IF($A$26=Ref!$A$7,Charleston!G9,0)+IF($A$26=Ref!$A$8,Cheraw!G9,0)+IF($A$26=Ref!$A$9,Chesterfield!G9,0)+IF($A$26=Ref!$A$10,Columbia!G9,0)+IF($A$26=Ref!$A$11,Florence!G9,0)+IF($A$26=Ref!$A$12,Gaffney!G9,0)+IF($A$26=Ref!$A$13,Georgetown!G9,0)+IF($A$26=Ref!$A$14,Greenville!G9,0)+IF($A$26=Ref!$A$15,Greenwood!G9,0)+IF($A$26=Ref!$A$16,'Hilton Head'!G9,0)+IF($A$26=Ref!$A$17,Laurens!G9,0)+IF($A$26=Ref!$A$18,Lexington!G9,0)+IF($A$26=Ref!$A$19,McCormick!G9,0)+IF($A$26=Ref!$A$20,'Myrtle Beach'!G9,0)+IF($A$26=Ref!$A$21,Newberry!G9,0)+IF($A$26=Ref!$A$22,Orangeburg!G9,0)+IF($A$26=Ref!$A$23,Pickens!G9,0)+IF($A$26=Ref!$A$24,'Rock Hill'!G9,0)+IF($A$26=Ref!$A$25,Spartanburg!G9,0)+IF($A$26=Ref!$A$26,'St. George'!G9,0)+IF($A$26=Ref!$A$27,Sumter!G9,0)+IF($A$26=Ref!$A$28,Union!G9,0)+IF($A$26=Ref!$A$29,Walhalla!G9,0)</f>
        <v>2.5052172155977837</v>
      </c>
      <c r="H33" s="56"/>
      <c r="I33" s="46"/>
      <c r="J33" s="46"/>
    </row>
    <row r="34" spans="1:10" x14ac:dyDescent="0.2">
      <c r="A34" s="46"/>
      <c r="B34" s="46"/>
      <c r="C34" s="46"/>
      <c r="D34" s="46">
        <v>10</v>
      </c>
      <c r="E34" s="46" t="s">
        <v>15</v>
      </c>
      <c r="F34" s="46"/>
      <c r="G34" s="56">
        <f>IF($A$26=Ref!$A$2,Abbeville!G11,0)+IF($A$26=Ref!$A$3,Aiken!G11,0)+IF($A$26=Ref!$A$4,Anderson!G11,0)+IF($A$26=Ref!$A$5,Berkeley!G11,0)+IF($A$26=Ref!$A$6,Camden!G11,0)+IF($A$26=Ref!$A$7,Charleston!G11,0)+IF($A$26=Ref!$A$8,Cheraw!G11,0)+IF($A$26=Ref!$A$9,Chesterfield!G11,0)+IF($A$26=Ref!$A$10,Columbia!G11,0)+IF($A$26=Ref!$A$11,Florence!G11,0)+IF($A$26=Ref!$A$12,Gaffney!G11,0)+IF($A$26=Ref!$A$13,Georgetown!G11,0)+IF($A$26=Ref!$A$14,Greenville!G11,0)+IF($A$26=Ref!$A$15,Greenwood!G11,0)+IF($A$26=Ref!$A$16,'Hilton Head'!G11,0)+IF($A$26=Ref!$A$17,Laurens!G11,0)+IF($A$26=Ref!$A$18,Lexington!G11,0)+IF($A$26=Ref!$A$19,McCormick!G11,0)+IF($A$26=Ref!$A$20,'Myrtle Beach'!G11,0)+IF($A$26=Ref!$A$21,Newberry!G11,0)+IF($A$26=Ref!$A$22,Orangeburg!G11,0)+IF($A$26=Ref!$A$23,Pickens!G11,0)+IF($A$26=Ref!$A$24,'Rock Hill'!G11,0)+IF($A$26=Ref!$A$25,Spartanburg!G11,0)+IF($A$26=Ref!$A$26,'St. George'!G11,0)+IF($A$26=Ref!$A$27,Sumter!G11,0)+IF($A$26=Ref!$A$28,Union!G11,0)+IF($A$26=Ref!$A$29,Walhalla!G11,0)</f>
        <v>3.168129310949527</v>
      </c>
      <c r="H34" s="56"/>
      <c r="I34" s="46"/>
      <c r="J34" s="46"/>
    </row>
    <row r="35" spans="1:10" x14ac:dyDescent="0.2">
      <c r="A35" s="46"/>
      <c r="B35" s="46"/>
      <c r="C35" s="46"/>
      <c r="D35" s="46">
        <v>25</v>
      </c>
      <c r="E35" s="46" t="s">
        <v>15</v>
      </c>
      <c r="F35" s="46"/>
      <c r="G35" s="56">
        <f>IF($A$26=Ref!$A$2,Abbeville!G12,0)+IF($A$26=Ref!$A$3,Aiken!G12,0)+IF($A$26=Ref!$A$4,Anderson!G12,0)+IF($A$26=Ref!$A$5,Berkeley!G12,0)+IF($A$26=Ref!$A$6,Camden!G12,0)+IF($A$26=Ref!$A$7,Charleston!G12,0)+IF($A$26=Ref!$A$8,Cheraw!G12,0)+IF($A$26=Ref!$A$9,Chesterfield!G12,0)+IF($A$26=Ref!$A$10,Columbia!G12,0)+IF($A$26=Ref!$A$11,Florence!G12,0)+IF($A$26=Ref!$A$12,Gaffney!G12,0)+IF($A$26=Ref!$A$13,Georgetown!G12,0)+IF($A$26=Ref!$A$14,Greenville!G12,0)+IF($A$26=Ref!$A$15,Greenwood!G12,0)+IF($A$26=Ref!$A$16,'Hilton Head'!G12,0)+IF($A$26=Ref!$A$17,Laurens!G12,0)+IF($A$26=Ref!$A$18,Lexington!G12,0)+IF($A$26=Ref!$A$19,McCormick!G12,0)+IF($A$26=Ref!$A$20,'Myrtle Beach'!G12,0)+IF($A$26=Ref!$A$21,Newberry!G12,0)+IF($A$26=Ref!$A$22,Orangeburg!G12,0)+IF($A$26=Ref!$A$23,Pickens!G12,0)+IF($A$26=Ref!$A$24,'Rock Hill'!G12,0)+IF($A$26=Ref!$A$25,Spartanburg!G12,0)+IF($A$26=Ref!$A$26,'St. George'!G12,0)+IF($A$26=Ref!$A$27,Sumter!G12,0)+IF($A$26=Ref!$A$28,Union!G12,0)+IF($A$26=Ref!$A$29,Walhalla!G12,0)</f>
        <v>3.5775771825887972</v>
      </c>
      <c r="H35" s="56"/>
      <c r="I35" s="46"/>
      <c r="J35" s="46"/>
    </row>
    <row r="36" spans="1:10" x14ac:dyDescent="0.2">
      <c r="A36" s="46"/>
      <c r="B36" s="46"/>
      <c r="C36" s="46"/>
      <c r="D36" s="46">
        <v>50</v>
      </c>
      <c r="E36" s="46" t="s">
        <v>15</v>
      </c>
      <c r="F36" s="46"/>
      <c r="G36" s="56">
        <f>IF($A$26=Ref!$A$2,Abbeville!G13,0)+IF($A$26=Ref!$A$3,Aiken!G13,0)+IF($A$26=Ref!$A$4,Anderson!G13,0)+IF($A$26=Ref!$A$5,Berkeley!G13,0)+IF($A$26=Ref!$A$6,Camden!G13,0)+IF($A$26=Ref!$A$7,Charleston!G13,0)+IF($A$26=Ref!$A$8,Cheraw!G13,0)+IF($A$26=Ref!$A$9,Chesterfield!G13,0)+IF($A$26=Ref!$A$10,Columbia!G13,0)+IF($A$26=Ref!$A$11,Florence!G13,0)+IF($A$26=Ref!$A$12,Gaffney!G13,0)+IF($A$26=Ref!$A$13,Georgetown!G13,0)+IF($A$26=Ref!$A$14,Greenville!G13,0)+IF($A$26=Ref!$A$15,Greenwood!G13,0)+IF($A$26=Ref!$A$16,'Hilton Head'!G13,0)+IF($A$26=Ref!$A$17,Laurens!G13,0)+IF($A$26=Ref!$A$18,Lexington!G13,0)+IF($A$26=Ref!$A$19,McCormick!G13,0)+IF($A$26=Ref!$A$20,'Myrtle Beach'!G13,0)+IF($A$26=Ref!$A$21,Newberry!G13,0)+IF($A$26=Ref!$A$22,Orangeburg!G13,0)+IF($A$26=Ref!$A$23,Pickens!G13,0)+IF($A$26=Ref!$A$24,'Rock Hill'!G13,0)+IF($A$26=Ref!$A$25,Spartanburg!G13,0)+IF($A$26=Ref!$A$26,'St. George'!G13,0)+IF($A$26=Ref!$A$27,Sumter!G13,0)+IF($A$26=Ref!$A$28,Union!G13,0)+IF($A$26=Ref!$A$29,Walhalla!G13,0)</f>
        <v>3.895715789568027</v>
      </c>
      <c r="H36" s="56"/>
      <c r="I36" s="46"/>
      <c r="J36" s="46"/>
    </row>
    <row r="37" spans="1:10" x14ac:dyDescent="0.2">
      <c r="A37" s="46"/>
      <c r="B37" s="46"/>
      <c r="C37" s="46"/>
      <c r="D37" s="46">
        <v>100</v>
      </c>
      <c r="E37" s="46" t="s">
        <v>15</v>
      </c>
      <c r="F37" s="46"/>
      <c r="G37" s="56">
        <f>IF($A$26=Ref!$A$2,Abbeville!G14,0)+IF($A$26=Ref!$A$3,Aiken!G14,0)+IF($A$26=Ref!$A$4,Anderson!G14,0)+IF($A$26=Ref!$A$5,Berkeley!G14,0)+IF($A$26=Ref!$A$6,Camden!G14,0)+IF($A$26=Ref!$A$7,Charleston!G14,0)+IF($A$26=Ref!$A$8,Cheraw!G14,0)+IF($A$26=Ref!$A$9,Chesterfield!G14,0)+IF($A$26=Ref!$A$10,Columbia!G14,0)+IF($A$26=Ref!$A$11,Florence!G14,0)+IF($A$26=Ref!$A$12,Gaffney!G14,0)+IF($A$26=Ref!$A$13,Georgetown!G14,0)+IF($A$26=Ref!$A$14,Greenville!G14,0)+IF($A$26=Ref!$A$15,Greenwood!G14,0)+IF($A$26=Ref!$A$16,'Hilton Head'!G14,0)+IF($A$26=Ref!$A$17,Laurens!G14,0)+IF($A$26=Ref!$A$18,Lexington!G14,0)+IF($A$26=Ref!$A$19,McCormick!G14,0)+IF($A$26=Ref!$A$20,'Myrtle Beach'!G14,0)+IF($A$26=Ref!$A$21,Newberry!G14,0)+IF($A$26=Ref!$A$22,Orangeburg!G14,0)+IF($A$26=Ref!$A$23,Pickens!G14,0)+IF($A$26=Ref!$A$24,'Rock Hill'!G14,0)+IF($A$26=Ref!$A$25,Spartanburg!G14,0)+IF($A$26=Ref!$A$26,'St. George'!G14,0)+IF($A$26=Ref!$A$27,Sumter!G14,0)+IF($A$26=Ref!$A$28,Union!G14,0)+IF($A$26=Ref!$A$29,Walhalla!G14,0)</f>
        <v>4.2041910467565158</v>
      </c>
      <c r="H37" s="56"/>
      <c r="I37" s="46"/>
      <c r="J37" s="46"/>
    </row>
    <row r="38" spans="1:10" x14ac:dyDescent="0.2">
      <c r="A38" s="46"/>
      <c r="B38" s="46"/>
      <c r="C38" s="46"/>
      <c r="D38" s="46"/>
      <c r="E38" s="46"/>
      <c r="F38" s="46"/>
      <c r="G38" s="57"/>
      <c r="H38" s="55"/>
      <c r="I38" s="46"/>
      <c r="J38" s="46"/>
    </row>
    <row r="39" spans="1:10" x14ac:dyDescent="0.2">
      <c r="A39" s="49" t="s">
        <v>16</v>
      </c>
      <c r="B39" s="46"/>
      <c r="C39" s="46"/>
      <c r="D39" s="46"/>
      <c r="E39" s="46"/>
      <c r="F39" s="46"/>
      <c r="G39" s="46"/>
      <c r="H39" s="46"/>
      <c r="I39" s="46"/>
      <c r="J39" s="46"/>
    </row>
    <row r="40" spans="1:10" x14ac:dyDescent="0.2">
      <c r="A40" s="46"/>
      <c r="B40" s="46"/>
      <c r="C40" s="46"/>
      <c r="D40" s="46"/>
      <c r="E40" s="46"/>
      <c r="F40" s="46"/>
      <c r="G40" s="46"/>
      <c r="H40" s="46"/>
      <c r="I40" s="46"/>
      <c r="J40" s="46"/>
    </row>
    <row r="41" spans="1:10" ht="15.75" x14ac:dyDescent="0.3">
      <c r="A41" s="46"/>
      <c r="B41" s="46"/>
      <c r="C41" s="46" t="s">
        <v>17</v>
      </c>
      <c r="D41" s="46"/>
      <c r="E41" s="46"/>
      <c r="F41" s="46"/>
      <c r="G41" s="46"/>
      <c r="H41" s="46"/>
      <c r="I41" s="46"/>
    </row>
    <row r="42" spans="1:10" ht="25.5" x14ac:dyDescent="0.2">
      <c r="A42" s="46"/>
      <c r="B42" s="58" t="s">
        <v>13</v>
      </c>
      <c r="C42" s="50" t="s">
        <v>18</v>
      </c>
      <c r="D42" s="50" t="s">
        <v>19</v>
      </c>
      <c r="E42" s="50" t="s">
        <v>20</v>
      </c>
      <c r="F42" s="50" t="s">
        <v>21</v>
      </c>
      <c r="G42" s="50" t="s">
        <v>22</v>
      </c>
      <c r="H42" s="50" t="s">
        <v>32</v>
      </c>
      <c r="I42" s="46"/>
    </row>
    <row r="43" spans="1:10" x14ac:dyDescent="0.2">
      <c r="A43" s="46"/>
      <c r="B43" s="50">
        <v>2</v>
      </c>
      <c r="C43" s="50">
        <v>1</v>
      </c>
      <c r="D43" s="48">
        <f>$H$23</f>
        <v>0.19711191335740075</v>
      </c>
      <c r="E43" s="48">
        <f>G33</f>
        <v>2.5052172155977837</v>
      </c>
      <c r="F43" s="48">
        <f>$E$10</f>
        <v>5.54</v>
      </c>
      <c r="G43" s="50" t="s">
        <v>22</v>
      </c>
      <c r="H43" s="48">
        <f>C43*D43*E43*F43</f>
        <v>2.7356971994327801</v>
      </c>
      <c r="I43" s="46" t="s">
        <v>33</v>
      </c>
    </row>
    <row r="44" spans="1:10" x14ac:dyDescent="0.2">
      <c r="A44" s="46"/>
      <c r="B44" s="50">
        <v>10</v>
      </c>
      <c r="C44" s="50">
        <v>1</v>
      </c>
      <c r="D44" s="48">
        <f>$H$23</f>
        <v>0.19711191335740075</v>
      </c>
      <c r="E44" s="48">
        <f>G34</f>
        <v>3.168129310949527</v>
      </c>
      <c r="F44" s="48">
        <f>$E$10</f>
        <v>5.54</v>
      </c>
      <c r="G44" s="50" t="s">
        <v>22</v>
      </c>
      <c r="H44" s="48">
        <f>C44*D44*E44*F44</f>
        <v>3.4595972075568842</v>
      </c>
      <c r="I44" s="46" t="s">
        <v>33</v>
      </c>
    </row>
    <row r="45" spans="1:10" x14ac:dyDescent="0.2">
      <c r="A45" s="46"/>
      <c r="B45" s="50">
        <v>25</v>
      </c>
      <c r="C45" s="50">
        <v>1.1000000000000001</v>
      </c>
      <c r="D45" s="48">
        <f>$H$23</f>
        <v>0.19711191335740075</v>
      </c>
      <c r="E45" s="48">
        <f>G35</f>
        <v>3.5775771825887972</v>
      </c>
      <c r="F45" s="48">
        <f>$E$10</f>
        <v>5.54</v>
      </c>
      <c r="G45" s="50" t="s">
        <v>22</v>
      </c>
      <c r="H45" s="48">
        <f>C45*D45*E45*F45</f>
        <v>4.2973857117256644</v>
      </c>
      <c r="I45" s="46" t="s">
        <v>33</v>
      </c>
    </row>
    <row r="46" spans="1:10" x14ac:dyDescent="0.2">
      <c r="A46" s="46"/>
      <c r="B46" s="50">
        <v>50</v>
      </c>
      <c r="C46" s="50">
        <v>1.2</v>
      </c>
      <c r="D46" s="48">
        <f>$H$23</f>
        <v>0.19711191335740075</v>
      </c>
      <c r="E46" s="48">
        <f>G36</f>
        <v>3.895715789568027</v>
      </c>
      <c r="F46" s="48">
        <f>$E$10</f>
        <v>5.54</v>
      </c>
      <c r="G46" s="50" t="s">
        <v>22</v>
      </c>
      <c r="H46" s="48">
        <f>C46*D46*E46*F46</f>
        <v>5.1049459706499425</v>
      </c>
      <c r="I46" s="46" t="s">
        <v>33</v>
      </c>
    </row>
    <row r="47" spans="1:10" x14ac:dyDescent="0.2">
      <c r="A47" s="46"/>
      <c r="B47" s="50">
        <v>100</v>
      </c>
      <c r="C47" s="50">
        <v>1.25</v>
      </c>
      <c r="D47" s="48">
        <f>$H$23</f>
        <v>0.19711191335740075</v>
      </c>
      <c r="E47" s="48">
        <f>G37</f>
        <v>4.2041910467565158</v>
      </c>
      <c r="F47" s="48">
        <f>$E$10</f>
        <v>5.54</v>
      </c>
      <c r="G47" s="50" t="s">
        <v>22</v>
      </c>
      <c r="H47" s="48">
        <f>C47*D47*E47*F47</f>
        <v>5.7387207788226444</v>
      </c>
      <c r="I47" s="46" t="s">
        <v>33</v>
      </c>
    </row>
    <row r="48" spans="1:10" x14ac:dyDescent="0.2">
      <c r="A48" s="46"/>
      <c r="B48" s="46"/>
      <c r="C48" s="50"/>
      <c r="D48" s="50"/>
      <c r="E48" s="48"/>
      <c r="F48" s="48"/>
      <c r="G48" s="50"/>
      <c r="H48" s="50"/>
      <c r="I48" s="59"/>
      <c r="J48" s="46"/>
    </row>
    <row r="50" spans="1:10" s="44" customFormat="1" x14ac:dyDescent="0.2">
      <c r="A50" s="44" t="str">
        <f>A2</f>
        <v>Outfall #3 [Rt.] Sta.250+00 (Ginny Lane)</v>
      </c>
    </row>
    <row r="51" spans="1:10" x14ac:dyDescent="0.2">
      <c r="A51" s="45" t="str">
        <f>A3</f>
        <v>Outfall ditch that runs behind the Wellesley subdivision</v>
      </c>
      <c r="B51" s="46"/>
      <c r="C51" s="46"/>
      <c r="D51" s="46"/>
      <c r="E51" s="46"/>
      <c r="F51" s="46"/>
      <c r="G51" s="46"/>
      <c r="H51" s="46"/>
      <c r="I51" s="46"/>
      <c r="J51" s="46"/>
    </row>
    <row r="53" spans="1:10" x14ac:dyDescent="0.2">
      <c r="A53" s="42" t="s">
        <v>23</v>
      </c>
    </row>
    <row r="54" spans="1:10" ht="27.75" customHeight="1" x14ac:dyDescent="0.2">
      <c r="A54" s="176" t="s">
        <v>430</v>
      </c>
      <c r="B54" s="176"/>
      <c r="C54" s="176"/>
      <c r="D54" s="176"/>
      <c r="E54" s="176"/>
      <c r="F54" s="176"/>
      <c r="G54" s="176"/>
      <c r="H54" s="176"/>
      <c r="I54" s="176"/>
      <c r="J54" s="169"/>
    </row>
    <row r="56" spans="1:10" x14ac:dyDescent="0.2">
      <c r="A56" s="44" t="s">
        <v>24</v>
      </c>
    </row>
    <row r="58" spans="1:10" ht="55.5" customHeight="1" x14ac:dyDescent="0.2">
      <c r="A58" s="176" t="s">
        <v>428</v>
      </c>
      <c r="B58" s="176"/>
      <c r="C58" s="176"/>
      <c r="D58" s="176"/>
      <c r="E58" s="176"/>
      <c r="F58" s="176"/>
      <c r="G58" s="176"/>
      <c r="H58" s="176"/>
      <c r="I58" s="176"/>
      <c r="J58" s="169"/>
    </row>
    <row r="60" spans="1:10" x14ac:dyDescent="0.2">
      <c r="C60" s="43" t="s">
        <v>25</v>
      </c>
      <c r="G60" s="116">
        <v>5.54</v>
      </c>
      <c r="H60" s="43" t="s">
        <v>26</v>
      </c>
    </row>
    <row r="62" spans="1:10" x14ac:dyDescent="0.2">
      <c r="C62" s="43" t="s">
        <v>34</v>
      </c>
      <c r="G62" s="123">
        <f>C68-C16</f>
        <v>0.10000000000000003</v>
      </c>
      <c r="H62" s="43" t="s">
        <v>26</v>
      </c>
    </row>
    <row r="63" spans="1:10" x14ac:dyDescent="0.2">
      <c r="G63" s="60"/>
    </row>
    <row r="64" spans="1:10" x14ac:dyDescent="0.2">
      <c r="A64" s="61" t="s">
        <v>4</v>
      </c>
      <c r="B64" s="61"/>
      <c r="C64" s="61"/>
      <c r="D64" s="61"/>
    </row>
    <row r="65" spans="1:8" x14ac:dyDescent="0.2">
      <c r="A65" s="163" t="s">
        <v>402</v>
      </c>
      <c r="B65" s="178" t="s">
        <v>407</v>
      </c>
      <c r="C65" s="178"/>
    </row>
    <row r="67" spans="1:8" x14ac:dyDescent="0.2">
      <c r="C67" s="62" t="s">
        <v>2</v>
      </c>
      <c r="D67" s="62"/>
      <c r="E67" s="62" t="s">
        <v>5</v>
      </c>
      <c r="F67" s="179" t="s">
        <v>6</v>
      </c>
      <c r="G67" s="179"/>
    </row>
    <row r="68" spans="1:8" x14ac:dyDescent="0.2">
      <c r="C68" s="115">
        <v>0.4</v>
      </c>
      <c r="D68" s="50" t="s">
        <v>3</v>
      </c>
      <c r="E68" s="48">
        <f>IF(ISBLANK(F68),0,IF($B$65='Runoff Coeficients (C)'!$I$8,VLOOKUP(F68,'Runoff Coeficients (C)'!$C$8:$F$40,2,FALSE),IF($B$65='Runoff Coeficients (C)'!$I$9,VLOOKUP(F68,'Runoff Coeficients (C)'!$C$8:$F$40,3,FALSE),IF($B$65='Runoff Coeficients (C)'!$I$10,VLOOKUP(F68,'Runoff Coeficients (C)'!$C$8:$F$40,4,FALSE),"UPDATE"))))</f>
        <v>0.9</v>
      </c>
      <c r="F68" s="177" t="s">
        <v>372</v>
      </c>
      <c r="G68" s="177"/>
    </row>
    <row r="69" spans="1:8" ht="12.75" customHeight="1" x14ac:dyDescent="0.2">
      <c r="C69" s="115">
        <v>0.26</v>
      </c>
      <c r="D69" s="50" t="s">
        <v>3</v>
      </c>
      <c r="E69" s="48">
        <f>IF(ISBLANK(F69),0,IF($B$65='Runoff Coeficients (C)'!$I$8,VLOOKUP(F69,'Runoff Coeficients (C)'!$C$8:$F$40,2,FALSE),IF($B$65='Runoff Coeficients (C)'!$I$9,VLOOKUP(F69,'Runoff Coeficients (C)'!$C$8:$F$40,3,FALSE),IF($B$65='Runoff Coeficients (C)'!$I$10,VLOOKUP(F69,'Runoff Coeficients (C)'!$C$8:$F$40,4,FALSE),"UPDATE"))))</f>
        <v>0.25</v>
      </c>
      <c r="F69" s="177" t="s">
        <v>385</v>
      </c>
      <c r="G69" s="177"/>
    </row>
    <row r="70" spans="1:8" ht="12.75" customHeight="1" x14ac:dyDescent="0.2">
      <c r="C70" s="115">
        <v>0</v>
      </c>
      <c r="D70" s="50" t="s">
        <v>3</v>
      </c>
      <c r="E70" s="48">
        <f>IF(ISBLANK(F70),0,IF($B$65='Runoff Coeficients (C)'!$I$8,VLOOKUP(F70,'Runoff Coeficients (C)'!$C$8:$F$40,2,FALSE),IF($B$65='Runoff Coeficients (C)'!$I$9,VLOOKUP(F70,'Runoff Coeficients (C)'!$C$8:$F$40,3,FALSE),IF($B$65='Runoff Coeficients (C)'!$I$10,VLOOKUP(F70,'Runoff Coeficients (C)'!$C$8:$F$40,4,FALSE),"UPDATE"))))</f>
        <v>0.3</v>
      </c>
      <c r="F70" s="177" t="s">
        <v>396</v>
      </c>
      <c r="G70" s="177"/>
    </row>
    <row r="71" spans="1:8" ht="12.75" customHeight="1" x14ac:dyDescent="0.2">
      <c r="C71" s="115">
        <v>0</v>
      </c>
      <c r="D71" s="50" t="s">
        <v>3</v>
      </c>
      <c r="E71" s="48">
        <f>IF(ISBLANK(F71),0,IF($B$65='Runoff Coeficients (C)'!$I$8,VLOOKUP(F71,'Runoff Coeficients (C)'!$C$8:$F$40,2,FALSE),IF($B$65='Runoff Coeficients (C)'!$I$9,VLOOKUP(F71,'Runoff Coeficients (C)'!$C$8:$F$40,3,FALSE),IF($B$65='Runoff Coeficients (C)'!$I$10,VLOOKUP(F71,'Runoff Coeficients (C)'!$C$8:$F$40,4,FALSE),"UPDATE"))))</f>
        <v>0.5</v>
      </c>
      <c r="F71" s="177" t="s">
        <v>381</v>
      </c>
      <c r="G71" s="177"/>
    </row>
    <row r="72" spans="1:8" x14ac:dyDescent="0.2">
      <c r="C72" s="115">
        <v>4.88</v>
      </c>
      <c r="D72" s="50" t="s">
        <v>3</v>
      </c>
      <c r="E72" s="48">
        <f>IF(ISBLANK(F72),0,IF($B$65='Runoff Coeficients (C)'!$I$8,VLOOKUP(F72,'Runoff Coeficients (C)'!$C$8:$F$40,2,FALSE),IF($B$65='Runoff Coeficients (C)'!$I$9,VLOOKUP(F72,'Runoff Coeficients (C)'!$C$8:$F$40,3,FALSE),IF($B$65='Runoff Coeficients (C)'!$I$10,VLOOKUP(F72,'Runoff Coeficients (C)'!$C$8:$F$40,4,FALSE),"UPDATE"))))</f>
        <v>0.15</v>
      </c>
      <c r="F72" s="177" t="s">
        <v>395</v>
      </c>
      <c r="G72" s="177"/>
    </row>
    <row r="73" spans="1:8" x14ac:dyDescent="0.2">
      <c r="C73" s="115">
        <v>0</v>
      </c>
      <c r="D73" s="50" t="s">
        <v>3</v>
      </c>
      <c r="E73" s="48">
        <f>IF(ISBLANK(F73),0,IF($B$65='Runoff Coeficients (C)'!$I$8,VLOOKUP(F73,'Runoff Coeficients (C)'!$C$8:$F$40,2,FALSE),IF($B$65='Runoff Coeficients (C)'!$I$9,VLOOKUP(F73,'Runoff Coeficients (C)'!$C$8:$F$40,3,FALSE),IF($B$65='Runoff Coeficients (C)'!$I$10,VLOOKUP(F73,'Runoff Coeficients (C)'!$C$8:$F$40,4,FALSE),"UPDATE"))))</f>
        <v>0.2</v>
      </c>
      <c r="F73" s="177" t="s">
        <v>397</v>
      </c>
      <c r="G73" s="177"/>
    </row>
    <row r="74" spans="1:8" x14ac:dyDescent="0.2">
      <c r="F74" s="50"/>
      <c r="G74" s="50"/>
    </row>
    <row r="75" spans="1:8" ht="12" customHeight="1" x14ac:dyDescent="0.2">
      <c r="F75" s="43" t="s">
        <v>7</v>
      </c>
      <c r="H75" s="52">
        <f>((C68*E68)+(C69*E69)+(C73*E73)+(C72*E72)+(C70*E70)+(C71*E71))/G60</f>
        <v>0.20884476534296029</v>
      </c>
    </row>
    <row r="77" spans="1:8" x14ac:dyDescent="0.2">
      <c r="A77" s="61" t="s">
        <v>10</v>
      </c>
      <c r="B77" s="61"/>
      <c r="C77" s="61"/>
      <c r="D77" s="61"/>
    </row>
    <row r="78" spans="1:8" x14ac:dyDescent="0.2">
      <c r="A78" s="62" t="str">
        <f>A26</f>
        <v>Lexington, SC</v>
      </c>
    </row>
    <row r="79" spans="1:8" x14ac:dyDescent="0.2">
      <c r="C79" s="43" t="s">
        <v>8</v>
      </c>
      <c r="F79" s="63">
        <f>IF('tc-pre'!E1="Yes",'tc-pre'!D48,IF('tc-pre'!E1="No",'tc-post'!D47,"Update"))</f>
        <v>0.81686055729959095</v>
      </c>
      <c r="G79" s="43" t="s">
        <v>11</v>
      </c>
    </row>
    <row r="80" spans="1:8" x14ac:dyDescent="0.2">
      <c r="C80" s="75" t="str">
        <f>IF('tc-pre'!E1="Yes","Pre-Construction Tc = Post-Construction Tc",IF('tc-pre'!E1="No","See Time of Concentration Worksheet","Update"))</f>
        <v>See Time of Concentration Worksheet</v>
      </c>
    </row>
    <row r="81" spans="1:10" ht="11.25" customHeight="1" x14ac:dyDescent="0.2">
      <c r="A81" s="64"/>
      <c r="B81" s="64"/>
      <c r="C81" s="64"/>
      <c r="D81" s="64"/>
      <c r="E81" s="64"/>
      <c r="F81" s="64"/>
      <c r="G81" s="64"/>
      <c r="H81" s="64"/>
      <c r="I81" s="64"/>
      <c r="J81" s="64"/>
    </row>
    <row r="83" spans="1:10" x14ac:dyDescent="0.2">
      <c r="C83" s="43" t="s">
        <v>12</v>
      </c>
    </row>
    <row r="85" spans="1:10" x14ac:dyDescent="0.2">
      <c r="D85" s="65" t="s">
        <v>13</v>
      </c>
      <c r="E85" s="65"/>
      <c r="F85" s="65"/>
      <c r="G85" s="43" t="s">
        <v>14</v>
      </c>
    </row>
    <row r="86" spans="1:10" x14ac:dyDescent="0.2">
      <c r="D86" s="43">
        <v>2</v>
      </c>
      <c r="E86" s="43" t="s">
        <v>15</v>
      </c>
      <c r="G86" s="56">
        <f>IF($A$26=Ref!$A$2,Abbeville!H9,0)+IF($A$26=Ref!$A$3,Aiken!H9,0)+IF($A$26=Ref!$A$4,Anderson!H9,0)+IF($A$26=Ref!$A$5,Berkeley!H9,0)+IF($A$26=Ref!$A$6,Camden!H9,0)+IF($A$26=Ref!$A$7,Charleston!H9,0)+IF($A$26=Ref!$A$8,Cheraw!H9,0)+IF($A$26=Ref!$A$9,Chesterfield!H9,0)+IF($A$26=Ref!$A$10,Columbia!H9,0)+IF($A$26=Ref!$A$11,Florence!H9,0)+IF($A$26=Ref!$A$12,Gaffney!H9,0)+IF($A$26=Ref!$A$13,Georgetown!H9,0)+IF($A$26=Ref!$A$14,Greenville!H9,0)+IF($A$26=Ref!$A$15,Greenwood!H9,0)+IF($A$26=Ref!$A$16,'Hilton Head'!H9,0)+IF($A$26=Ref!$A$17,Laurens!H9,0)+IF($A$26=Ref!$A$18,Lexington!H9,0)+IF($A$26=Ref!$A$19,McCormick!H9,0)+IF($A$26=Ref!$A$20,'Myrtle Beach'!H9,0)+IF($A$26=Ref!$A$21,Newberry!H9,0)+IF($A$26=Ref!$A$22,Orangeburg!H9,0)+IF($A$26=Ref!$A$23,Pickens!H9,0)+IF($A$26=Ref!$A$24,'Rock Hill'!H9,0)+IF($A$26=Ref!$A$25,Spartanburg!H9,0)+IF($A$26=Ref!$A$26,'St. George'!H9,0)+IF($A$26=Ref!$A$27,Sumter!H9,0)+IF($A$26=Ref!$A$28,Union!H9,0)+IF($A$26=Ref!$A$29,Walhalla!H9,0)</f>
        <v>2.5052172155977837</v>
      </c>
    </row>
    <row r="87" spans="1:10" x14ac:dyDescent="0.2">
      <c r="D87" s="43">
        <v>10</v>
      </c>
      <c r="E87" s="43" t="s">
        <v>15</v>
      </c>
      <c r="G87" s="56">
        <f>IF($A$26=Ref!$A$2,Abbeville!H11,0)+IF($A$26=Ref!$A$3,Aiken!H11,0)+IF($A$26=Ref!$A$4,Anderson!H11,0)+IF($A$26=Ref!$A$5,Berkeley!H11,0)+IF($A$26=Ref!$A$6,Camden!H11,0)+IF($A$26=Ref!$A$7,Charleston!H11,0)+IF($A$26=Ref!$A$8,Cheraw!H11,0)+IF($A$26=Ref!$A$9,Chesterfield!H11,0)+IF($A$26=Ref!$A$10,Columbia!H11,0)+IF($A$26=Ref!$A$11,Florence!H11,0)+IF($A$26=Ref!$A$12,Gaffney!H11,0)+IF($A$26=Ref!$A$13,Georgetown!H11,0)+IF($A$26=Ref!$A$14,Greenville!H11,0)+IF($A$26=Ref!$A$15,Greenwood!H11,0)+IF($A$26=Ref!$A$16,'Hilton Head'!H11,0)+IF($A$26=Ref!$A$17,Laurens!H11,0)+IF($A$26=Ref!$A$18,Lexington!H11,0)+IF($A$26=Ref!$A$19,McCormick!H11,0)+IF($A$26=Ref!$A$20,'Myrtle Beach'!H11,0)+IF($A$26=Ref!$A$21,Newberry!H11,0)+IF($A$26=Ref!$A$22,Orangeburg!H11,0)+IF($A$26=Ref!$A$23,Pickens!H11,0)+IF($A$26=Ref!$A$24,'Rock Hill'!H11,0)+IF($A$26=Ref!$A$25,Spartanburg!H11,0)+IF($A$26=Ref!$A$26,'St. George'!H11,0)+IF($A$26=Ref!$A$27,Sumter!H11,0)+IF($A$26=Ref!$A$28,Union!H11,0)+IF($A$26=Ref!$A$29,Walhalla!H11,0)</f>
        <v>3.168129310949527</v>
      </c>
    </row>
    <row r="88" spans="1:10" x14ac:dyDescent="0.2">
      <c r="D88" s="43">
        <v>25</v>
      </c>
      <c r="E88" s="43" t="s">
        <v>15</v>
      </c>
      <c r="G88" s="56">
        <f>IF($A$26=Ref!$A$2,Abbeville!H12,0)+IF($A$26=Ref!$A$3,Aiken!H12,0)+IF($A$26=Ref!$A$4,Anderson!H12,0)+IF($A$26=Ref!$A$5,Berkeley!H12,0)+IF($A$26=Ref!$A$6,Camden!H12,0)+IF($A$26=Ref!$A$7,Charleston!H12,0)+IF($A$26=Ref!$A$8,Cheraw!H12,0)+IF($A$26=Ref!$A$9,Chesterfield!H12,0)+IF($A$26=Ref!$A$10,Columbia!H12,0)+IF($A$26=Ref!$A$11,Florence!H12,0)+IF($A$26=Ref!$A$12,Gaffney!H12,0)+IF($A$26=Ref!$A$13,Georgetown!H12,0)+IF($A$26=Ref!$A$14,Greenville!H12,0)+IF($A$26=Ref!$A$15,Greenwood!H12,0)+IF($A$26=Ref!$A$16,'Hilton Head'!H12,0)+IF($A$26=Ref!$A$17,Laurens!H12,0)+IF($A$26=Ref!$A$18,Lexington!H12,0)+IF($A$26=Ref!$A$19,McCormick!H12,0)+IF($A$26=Ref!$A$20,'Myrtle Beach'!H12,0)+IF($A$26=Ref!$A$21,Newberry!H12,0)+IF($A$26=Ref!$A$22,Orangeburg!H12,0)+IF($A$26=Ref!$A$23,Pickens!H12,0)+IF($A$26=Ref!$A$24,'Rock Hill'!H12,0)+IF($A$26=Ref!$A$25,Spartanburg!H12,0)+IF($A$26=Ref!$A$26,'St. George'!H12,0)+IF($A$26=Ref!$A$27,Sumter!H12,0)+IF($A$26=Ref!$A$28,Union!H12,0)+IF($A$26=Ref!$A$29,Walhalla!H12,0)</f>
        <v>3.5775771825887972</v>
      </c>
    </row>
    <row r="89" spans="1:10" x14ac:dyDescent="0.2">
      <c r="D89" s="43">
        <v>50</v>
      </c>
      <c r="E89" s="43" t="s">
        <v>15</v>
      </c>
      <c r="G89" s="56">
        <f>IF($A$26=Ref!$A$2,Abbeville!H13,0)+IF($A$26=Ref!$A$3,Aiken!H13,0)+IF($A$26=Ref!$A$4,Anderson!H13,0)+IF($A$26=Ref!$A$5,Berkeley!H13,0)+IF($A$26=Ref!$A$6,Camden!H13,0)+IF($A$26=Ref!$A$7,Charleston!H13,0)+IF($A$26=Ref!$A$8,Cheraw!H13,0)+IF($A$26=Ref!$A$9,Chesterfield!H13,0)+IF($A$26=Ref!$A$10,Columbia!H13,0)+IF($A$26=Ref!$A$11,Florence!H13,0)+IF($A$26=Ref!$A$12,Gaffney!H13,0)+IF($A$26=Ref!$A$13,Georgetown!H13,0)+IF($A$26=Ref!$A$14,Greenville!H13,0)+IF($A$26=Ref!$A$15,Greenwood!H13,0)+IF($A$26=Ref!$A$16,'Hilton Head'!H13,0)+IF($A$26=Ref!$A$17,Laurens!H13,0)+IF($A$26=Ref!$A$18,Lexington!H13,0)+IF($A$26=Ref!$A$19,McCormick!H13,0)+IF($A$26=Ref!$A$20,'Myrtle Beach'!H13,0)+IF($A$26=Ref!$A$21,Newberry!H13,0)+IF($A$26=Ref!$A$22,Orangeburg!H13,0)+IF($A$26=Ref!$A$23,Pickens!H13,0)+IF($A$26=Ref!$A$24,'Rock Hill'!H13,0)+IF($A$26=Ref!$A$25,Spartanburg!H13,0)+IF($A$26=Ref!$A$26,'St. George'!H13,0)+IF($A$26=Ref!$A$27,Sumter!H13,0)+IF($A$26=Ref!$A$28,Union!H13,0)+IF($A$26=Ref!$A$29,Walhalla!H13,0)</f>
        <v>3.895715789568027</v>
      </c>
    </row>
    <row r="90" spans="1:10" x14ac:dyDescent="0.2">
      <c r="D90" s="43">
        <v>100</v>
      </c>
      <c r="E90" s="43" t="s">
        <v>15</v>
      </c>
      <c r="G90" s="56">
        <f>IF($A$26=Ref!$A$2,Abbeville!H14,0)+IF($A$26=Ref!$A$3,Aiken!H14,0)+IF($A$26=Ref!$A$4,Anderson!H14,0)+IF($A$26=Ref!$A$5,Berkeley!H14,0)+IF($A$26=Ref!$A$6,Camden!H14,0)+IF($A$26=Ref!$A$7,Charleston!H14,0)+IF($A$26=Ref!$A$8,Cheraw!H14,0)+IF($A$26=Ref!$A$9,Chesterfield!H14,0)+IF($A$26=Ref!$A$10,Columbia!H14,0)+IF($A$26=Ref!$A$11,Florence!H14,0)+IF($A$26=Ref!$A$12,Gaffney!H14,0)+IF($A$26=Ref!$A$13,Georgetown!H14,0)+IF($A$26=Ref!$A$14,Greenville!H14,0)+IF($A$26=Ref!$A$15,Greenwood!H14,0)+IF($A$26=Ref!$A$16,'Hilton Head'!H14,0)+IF($A$26=Ref!$A$17,Laurens!H14,0)+IF($A$26=Ref!$A$18,Lexington!H14,0)+IF($A$26=Ref!$A$19,McCormick!H14,0)+IF($A$26=Ref!$A$20,'Myrtle Beach'!H14,0)+IF($A$26=Ref!$A$21,Newberry!H14,0)+IF($A$26=Ref!$A$22,Orangeburg!H14,0)+IF($A$26=Ref!$A$23,Pickens!H14,0)+IF($A$26=Ref!$A$24,'Rock Hill'!H14,0)+IF($A$26=Ref!$A$25,Spartanburg!H14,0)+IF($A$26=Ref!$A$26,'St. George'!H14,0)+IF($A$26=Ref!$A$27,Sumter!H14,0)+IF($A$26=Ref!$A$28,Union!H14,0)+IF($A$26=Ref!$A$29,Walhalla!H14,0)</f>
        <v>4.2041910467565158</v>
      </c>
    </row>
    <row r="91" spans="1:10" x14ac:dyDescent="0.2">
      <c r="G91" s="66"/>
    </row>
    <row r="93" spans="1:10" s="44" customFormat="1" x14ac:dyDescent="0.2">
      <c r="A93" s="44" t="str">
        <f>A2</f>
        <v>Outfall #3 [Rt.] Sta.250+00 (Ginny Lane)</v>
      </c>
    </row>
    <row r="94" spans="1:10" x14ac:dyDescent="0.2">
      <c r="A94" s="45" t="str">
        <f>A3</f>
        <v>Outfall ditch that runs behind the Wellesley subdivision</v>
      </c>
      <c r="B94" s="46"/>
      <c r="C94" s="46"/>
      <c r="D94" s="46"/>
      <c r="E94" s="46"/>
      <c r="F94" s="46"/>
      <c r="G94" s="46"/>
      <c r="H94" s="46"/>
      <c r="I94" s="46"/>
      <c r="J94" s="46"/>
    </row>
    <row r="96" spans="1:10" x14ac:dyDescent="0.2">
      <c r="A96" s="42" t="s">
        <v>23</v>
      </c>
    </row>
    <row r="97" spans="1:10" s="64" customFormat="1" ht="18.75" customHeight="1" x14ac:dyDescent="0.2">
      <c r="A97" s="181"/>
      <c r="B97" s="181"/>
      <c r="C97" s="181"/>
      <c r="D97" s="181"/>
      <c r="E97" s="181"/>
      <c r="F97" s="181"/>
      <c r="G97" s="181"/>
      <c r="H97" s="181"/>
      <c r="I97" s="181"/>
      <c r="J97" s="181"/>
    </row>
    <row r="98" spans="1:10" ht="12.75" customHeight="1" x14ac:dyDescent="0.2"/>
    <row r="99" spans="1:10" ht="12.75" customHeight="1" x14ac:dyDescent="0.2">
      <c r="A99" s="61" t="s">
        <v>16</v>
      </c>
    </row>
    <row r="100" spans="1:10" ht="12.75" customHeight="1" x14ac:dyDescent="0.2"/>
    <row r="101" spans="1:10" ht="12.75" customHeight="1" x14ac:dyDescent="0.3">
      <c r="C101" s="43" t="s">
        <v>17</v>
      </c>
    </row>
    <row r="102" spans="1:10" ht="12.75" customHeight="1" x14ac:dyDescent="0.2">
      <c r="B102" s="67" t="s">
        <v>13</v>
      </c>
      <c r="C102" s="62" t="s">
        <v>18</v>
      </c>
      <c r="D102" s="62" t="s">
        <v>19</v>
      </c>
      <c r="E102" s="62" t="s">
        <v>20</v>
      </c>
      <c r="F102" s="62" t="s">
        <v>21</v>
      </c>
      <c r="G102" s="62" t="s">
        <v>22</v>
      </c>
      <c r="H102" s="62" t="s">
        <v>32</v>
      </c>
    </row>
    <row r="103" spans="1:10" ht="12.75" customHeight="1" x14ac:dyDescent="0.2">
      <c r="B103" s="62">
        <v>2</v>
      </c>
      <c r="C103" s="62">
        <v>1</v>
      </c>
      <c r="D103" s="68">
        <f>$H$75</f>
        <v>0.20884476534296029</v>
      </c>
      <c r="E103" s="69">
        <f>G86</f>
        <v>2.5052172155977837</v>
      </c>
      <c r="F103" s="68">
        <f>$G$60</f>
        <v>5.54</v>
      </c>
      <c r="G103" s="62" t="s">
        <v>22</v>
      </c>
      <c r="H103" s="68">
        <f>C103*D103*E103*F103</f>
        <v>2.8985363184466357</v>
      </c>
      <c r="I103" s="43" t="s">
        <v>33</v>
      </c>
    </row>
    <row r="104" spans="1:10" ht="12.75" customHeight="1" x14ac:dyDescent="0.2">
      <c r="B104" s="62">
        <v>10</v>
      </c>
      <c r="C104" s="62">
        <v>1</v>
      </c>
      <c r="D104" s="68">
        <f>$H$75</f>
        <v>0.20884476534296029</v>
      </c>
      <c r="E104" s="69">
        <f>G87</f>
        <v>3.168129310949527</v>
      </c>
      <c r="F104" s="68">
        <f>$G$60</f>
        <v>5.54</v>
      </c>
      <c r="G104" s="62" t="s">
        <v>22</v>
      </c>
      <c r="H104" s="68">
        <f>C104*D104*E104*F104</f>
        <v>3.6655256127686027</v>
      </c>
      <c r="I104" s="43" t="s">
        <v>33</v>
      </c>
    </row>
    <row r="105" spans="1:10" ht="12.75" customHeight="1" x14ac:dyDescent="0.2">
      <c r="B105" s="62">
        <v>25</v>
      </c>
      <c r="C105" s="62">
        <v>1.1000000000000001</v>
      </c>
      <c r="D105" s="68">
        <f>$H$75</f>
        <v>0.20884476534296029</v>
      </c>
      <c r="E105" s="69">
        <f>G88</f>
        <v>3.5775771825887972</v>
      </c>
      <c r="F105" s="68">
        <f>$G$60</f>
        <v>5.54</v>
      </c>
      <c r="G105" s="62" t="s">
        <v>22</v>
      </c>
      <c r="H105" s="68">
        <f>C105*D105*E105*F105</f>
        <v>4.5531824802807623</v>
      </c>
      <c r="I105" s="43" t="s">
        <v>33</v>
      </c>
    </row>
    <row r="106" spans="1:10" ht="12.75" customHeight="1" x14ac:dyDescent="0.2">
      <c r="B106" s="62">
        <v>50</v>
      </c>
      <c r="C106" s="62">
        <v>1.2</v>
      </c>
      <c r="D106" s="68">
        <f>$H$75</f>
        <v>0.20884476534296029</v>
      </c>
      <c r="E106" s="69">
        <f>G89</f>
        <v>3.895715789568027</v>
      </c>
      <c r="F106" s="68">
        <f>$G$60</f>
        <v>5.54</v>
      </c>
      <c r="G106" s="62" t="s">
        <v>22</v>
      </c>
      <c r="H106" s="68">
        <f>C106*D106*E106*F106</f>
        <v>5.4088118022362481</v>
      </c>
      <c r="I106" s="43" t="s">
        <v>33</v>
      </c>
    </row>
    <row r="107" spans="1:10" ht="12.75" customHeight="1" x14ac:dyDescent="0.2">
      <c r="B107" s="62">
        <v>100</v>
      </c>
      <c r="C107" s="62">
        <v>1.25</v>
      </c>
      <c r="D107" s="68">
        <f>$H$75</f>
        <v>0.20884476534296029</v>
      </c>
      <c r="E107" s="69">
        <f>G90</f>
        <v>4.2041910467565158</v>
      </c>
      <c r="F107" s="68">
        <f>$G$60</f>
        <v>5.54</v>
      </c>
      <c r="G107" s="62" t="s">
        <v>22</v>
      </c>
      <c r="H107" s="68">
        <f>C107*D107*E107*F107</f>
        <v>6.0803113013716112</v>
      </c>
      <c r="I107" s="43" t="s">
        <v>33</v>
      </c>
    </row>
    <row r="108" spans="1:10" x14ac:dyDescent="0.2">
      <c r="C108" s="62"/>
      <c r="D108" s="62"/>
      <c r="E108" s="68"/>
      <c r="F108" s="68"/>
      <c r="G108" s="70"/>
      <c r="H108" s="62"/>
      <c r="I108" s="60"/>
    </row>
    <row r="109" spans="1:10" x14ac:dyDescent="0.2">
      <c r="A109" s="49" t="s">
        <v>27</v>
      </c>
      <c r="B109" s="46"/>
      <c r="C109" s="46"/>
      <c r="D109" s="46"/>
      <c r="E109" s="46"/>
      <c r="F109" s="46"/>
      <c r="G109" s="46"/>
      <c r="H109" s="46"/>
      <c r="I109" s="46"/>
      <c r="J109" s="46"/>
    </row>
    <row r="110" spans="1:10" x14ac:dyDescent="0.2">
      <c r="A110" s="46"/>
      <c r="B110" s="46"/>
      <c r="C110" s="46"/>
      <c r="D110" s="46"/>
      <c r="E110" s="46"/>
      <c r="F110" s="46"/>
      <c r="G110" s="46"/>
      <c r="H110" s="46"/>
      <c r="I110" s="46"/>
      <c r="J110" s="46"/>
    </row>
    <row r="111" spans="1:10" ht="27" x14ac:dyDescent="0.3">
      <c r="A111" s="46"/>
      <c r="B111" s="46"/>
      <c r="C111" s="58" t="s">
        <v>13</v>
      </c>
      <c r="D111" s="50" t="s">
        <v>28</v>
      </c>
      <c r="E111" s="50" t="s">
        <v>29</v>
      </c>
      <c r="F111" s="50" t="s">
        <v>30</v>
      </c>
      <c r="G111" s="50" t="s">
        <v>31</v>
      </c>
      <c r="H111" s="46"/>
      <c r="I111" s="46"/>
      <c r="J111" s="46"/>
    </row>
    <row r="112" spans="1:10" x14ac:dyDescent="0.2">
      <c r="A112" s="46"/>
      <c r="B112" s="46"/>
      <c r="C112" s="50">
        <v>2</v>
      </c>
      <c r="D112" s="48">
        <f>H43</f>
        <v>2.7356971994327801</v>
      </c>
      <c r="E112" s="48">
        <f>H103</f>
        <v>2.8985363184466357</v>
      </c>
      <c r="F112" s="48">
        <f>E112-D112</f>
        <v>0.16283911901385562</v>
      </c>
      <c r="G112" s="71">
        <f>F112/D112</f>
        <v>5.9523809523809396E-2</v>
      </c>
      <c r="H112" s="46"/>
      <c r="I112" s="46"/>
      <c r="J112" s="46"/>
    </row>
    <row r="113" spans="1:10" x14ac:dyDescent="0.2">
      <c r="A113" s="46"/>
      <c r="B113" s="46"/>
      <c r="C113" s="50">
        <v>10</v>
      </c>
      <c r="D113" s="48">
        <f>H44</f>
        <v>3.4595972075568842</v>
      </c>
      <c r="E113" s="48">
        <f>H104</f>
        <v>3.6655256127686027</v>
      </c>
      <c r="F113" s="48">
        <f>E113-D113</f>
        <v>0.20592840521171851</v>
      </c>
      <c r="G113" s="71">
        <f>F113/D113</f>
        <v>5.9523809523809298E-2</v>
      </c>
      <c r="H113" s="46"/>
      <c r="I113" s="46"/>
      <c r="J113" s="46"/>
    </row>
    <row r="114" spans="1:10" x14ac:dyDescent="0.2">
      <c r="A114" s="46"/>
      <c r="B114" s="46"/>
      <c r="C114" s="46"/>
      <c r="D114" s="46"/>
      <c r="E114" s="46"/>
      <c r="F114" s="46"/>
      <c r="G114" s="46"/>
      <c r="H114" s="46"/>
      <c r="I114" s="46"/>
      <c r="J114" s="46"/>
    </row>
    <row r="115" spans="1:10" ht="57.75" customHeight="1" x14ac:dyDescent="0.2">
      <c r="A115" s="176" t="s">
        <v>429</v>
      </c>
      <c r="B115" s="176"/>
      <c r="C115" s="176"/>
      <c r="D115" s="176"/>
      <c r="E115" s="176"/>
      <c r="F115" s="176"/>
      <c r="G115" s="176"/>
      <c r="H115" s="176"/>
      <c r="I115" s="176"/>
      <c r="J115" s="169"/>
    </row>
    <row r="116" spans="1:10" x14ac:dyDescent="0.2">
      <c r="A116" s="46"/>
      <c r="B116" s="46"/>
      <c r="C116" s="50"/>
      <c r="D116" s="72"/>
      <c r="E116" s="72"/>
      <c r="F116" s="72"/>
      <c r="G116" s="71"/>
      <c r="H116" s="46"/>
      <c r="I116" s="46"/>
      <c r="J116" s="46"/>
    </row>
    <row r="117" spans="1:10" x14ac:dyDescent="0.2">
      <c r="A117" s="47"/>
      <c r="B117" s="46"/>
      <c r="C117" s="46"/>
      <c r="D117" s="46"/>
      <c r="E117" s="46"/>
      <c r="F117" s="46"/>
      <c r="G117" s="46"/>
      <c r="H117" s="46"/>
      <c r="I117" s="46"/>
      <c r="J117" s="46"/>
    </row>
    <row r="118" spans="1:10" x14ac:dyDescent="0.2">
      <c r="A118" s="47"/>
      <c r="B118" s="46"/>
      <c r="C118" s="46"/>
      <c r="D118" s="46"/>
      <c r="E118" s="46"/>
      <c r="F118" s="46"/>
      <c r="G118" s="46"/>
      <c r="H118" s="46"/>
      <c r="I118" s="46"/>
      <c r="J118" s="46"/>
    </row>
    <row r="119" spans="1:10" s="64" customFormat="1" ht="27" customHeight="1" x14ac:dyDescent="0.2">
      <c r="A119" s="73"/>
      <c r="B119" s="73"/>
      <c r="C119" s="73"/>
      <c r="D119" s="73"/>
      <c r="E119" s="73"/>
      <c r="F119" s="73"/>
      <c r="G119" s="73"/>
      <c r="H119" s="73"/>
      <c r="I119" s="73"/>
      <c r="J119" s="73"/>
    </row>
    <row r="120" spans="1:10" x14ac:dyDescent="0.2">
      <c r="A120" s="46"/>
      <c r="B120" s="46"/>
      <c r="C120" s="46"/>
      <c r="D120" s="46"/>
      <c r="E120" s="46"/>
      <c r="F120" s="46"/>
      <c r="G120" s="46"/>
      <c r="H120" s="46"/>
      <c r="I120" s="46"/>
      <c r="J120" s="46"/>
    </row>
    <row r="121" spans="1:10" x14ac:dyDescent="0.2">
      <c r="A121" s="46"/>
      <c r="B121" s="46"/>
      <c r="C121" s="46"/>
      <c r="D121" s="46"/>
      <c r="E121" s="46"/>
      <c r="F121" s="46"/>
      <c r="G121" s="46"/>
      <c r="H121" s="46"/>
      <c r="I121" s="46"/>
      <c r="J121" s="46"/>
    </row>
    <row r="122" spans="1:10" x14ac:dyDescent="0.2">
      <c r="A122" s="46"/>
      <c r="B122" s="46"/>
      <c r="C122" s="54"/>
      <c r="D122" s="54"/>
      <c r="E122" s="46"/>
      <c r="F122" s="54"/>
      <c r="G122" s="54"/>
      <c r="H122" s="46"/>
      <c r="I122" s="46"/>
      <c r="J122" s="46"/>
    </row>
    <row r="123" spans="1:10" x14ac:dyDescent="0.2">
      <c r="A123" s="46"/>
      <c r="B123" s="54"/>
      <c r="C123" s="54"/>
      <c r="D123" s="54"/>
      <c r="E123" s="54"/>
      <c r="F123" s="54"/>
      <c r="G123" s="54"/>
      <c r="H123" s="46"/>
      <c r="I123" s="46"/>
      <c r="J123" s="46"/>
    </row>
    <row r="124" spans="1:10" x14ac:dyDescent="0.2">
      <c r="A124" s="46"/>
      <c r="B124" s="46"/>
      <c r="C124" s="46"/>
      <c r="D124" s="46"/>
      <c r="E124" s="46"/>
      <c r="F124" s="46"/>
      <c r="G124" s="46"/>
      <c r="H124" s="46"/>
      <c r="I124" s="46"/>
      <c r="J124" s="46"/>
    </row>
    <row r="125" spans="1:10" x14ac:dyDescent="0.2">
      <c r="A125" s="46"/>
      <c r="B125" s="46"/>
      <c r="C125" s="46"/>
      <c r="D125" s="46"/>
      <c r="E125" s="46"/>
      <c r="F125" s="46"/>
      <c r="G125" s="46"/>
      <c r="H125" s="46"/>
      <c r="I125" s="46"/>
      <c r="J125" s="46"/>
    </row>
    <row r="126" spans="1:10" x14ac:dyDescent="0.2">
      <c r="A126" s="46"/>
      <c r="B126" s="46"/>
      <c r="C126" s="46"/>
      <c r="D126" s="46"/>
      <c r="E126" s="46"/>
      <c r="F126" s="46"/>
      <c r="G126" s="46"/>
      <c r="H126" s="46"/>
      <c r="I126" s="46"/>
      <c r="J126" s="46"/>
    </row>
    <row r="127" spans="1:10" s="64" customFormat="1" ht="14.25" customHeight="1" x14ac:dyDescent="0.2">
      <c r="A127" s="73"/>
      <c r="B127" s="73"/>
      <c r="C127" s="73"/>
      <c r="D127" s="73"/>
      <c r="E127" s="73"/>
      <c r="F127" s="73"/>
      <c r="G127" s="73"/>
      <c r="H127" s="73"/>
      <c r="I127" s="73"/>
      <c r="J127" s="73"/>
    </row>
    <row r="129" spans="2:7" x14ac:dyDescent="0.2">
      <c r="B129" s="61"/>
    </row>
    <row r="130" spans="2:7" x14ac:dyDescent="0.2">
      <c r="B130" s="74"/>
      <c r="C130" s="54"/>
      <c r="D130" s="54"/>
      <c r="E130" s="54"/>
      <c r="F130" s="54"/>
      <c r="G130" s="54"/>
    </row>
    <row r="131" spans="2:7" x14ac:dyDescent="0.2">
      <c r="B131" s="54"/>
      <c r="C131" s="54"/>
      <c r="D131" s="54"/>
      <c r="E131" s="54"/>
      <c r="F131" s="54"/>
      <c r="G131" s="54"/>
    </row>
  </sheetData>
  <sheetProtection password="D1ED" sheet="1" formatRows="0"/>
  <mergeCells count="21">
    <mergeCell ref="F67:G67"/>
    <mergeCell ref="F15:G15"/>
    <mergeCell ref="B65:C65"/>
    <mergeCell ref="F68:G68"/>
    <mergeCell ref="A115:I115"/>
    <mergeCell ref="F18:G18"/>
    <mergeCell ref="F19:G19"/>
    <mergeCell ref="F70:G70"/>
    <mergeCell ref="F73:G73"/>
    <mergeCell ref="F71:G71"/>
    <mergeCell ref="A97:J97"/>
    <mergeCell ref="F72:G72"/>
    <mergeCell ref="A54:I54"/>
    <mergeCell ref="A58:I58"/>
    <mergeCell ref="F69:G69"/>
    <mergeCell ref="A5:I6"/>
    <mergeCell ref="F17:G17"/>
    <mergeCell ref="F20:G20"/>
    <mergeCell ref="F21:G21"/>
    <mergeCell ref="B13:C13"/>
    <mergeCell ref="F16:G16"/>
  </mergeCells>
  <phoneticPr fontId="0" type="noConversion"/>
  <dataValidations disablePrompts="1" count="3">
    <dataValidation type="list" allowBlank="1" showInputMessage="1" showErrorMessage="1" sqref="A26">
      <formula1>county</formula1>
    </dataValidation>
    <dataValidation type="list" allowBlank="1" showInputMessage="1" showErrorMessage="1" sqref="B13 B65">
      <formula1>Topo2</formula1>
    </dataValidation>
    <dataValidation type="list" allowBlank="1" showInputMessage="1" showErrorMessage="1" sqref="F16:G21 F68:G73">
      <formula1>description</formula1>
    </dataValidation>
  </dataValidations>
  <pageMargins left="0.75" right="0.75" top="1" bottom="1" header="0.5" footer="0.5"/>
  <pageSetup scale="95" orientation="portrait" blackAndWhite="1" r:id="rId1"/>
  <headerFooter alignWithMargins="0">
    <oddHeader>&amp;LI-20 Improvement Project&amp;CPre vs. Post-Construction Analysis
(Rational Method)&amp;R&amp;D</oddHeader>
  </headerFooter>
  <rowBreaks count="2" manualBreakCount="2">
    <brk id="49" max="16383" man="1"/>
    <brk id="92" max="16383" man="1"/>
  </rowBreak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A3" sqref="A3"/>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173</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237.85213999999999</v>
      </c>
      <c r="C9" s="30">
        <v>36.008780000000002</v>
      </c>
      <c r="D9" s="30">
        <v>1.038</v>
      </c>
      <c r="E9" s="29"/>
      <c r="F9" s="29"/>
      <c r="G9" s="9">
        <f t="shared" ref="G9:G14" si="0">B9/(C9+$D$4)^D9</f>
        <v>2.3629904617482285</v>
      </c>
      <c r="H9" s="9">
        <f t="shared" ref="H9:H14" si="1">B9/(C9+$D$5)^D9</f>
        <v>2.3629904617482285</v>
      </c>
      <c r="J9" s="29"/>
      <c r="K9" s="29"/>
      <c r="L9" s="30"/>
    </row>
    <row r="10" spans="1:12" x14ac:dyDescent="0.2">
      <c r="A10" s="31">
        <v>5</v>
      </c>
      <c r="B10" s="34">
        <v>253.32925</v>
      </c>
      <c r="C10" s="30">
        <v>33.549219999999998</v>
      </c>
      <c r="D10" s="30">
        <v>1.02275</v>
      </c>
      <c r="E10" s="29"/>
      <c r="F10" s="29"/>
      <c r="G10" s="9">
        <f t="shared" si="0"/>
        <v>2.7752655919031661</v>
      </c>
      <c r="H10" s="9">
        <f t="shared" si="1"/>
        <v>2.7752655919031661</v>
      </c>
      <c r="J10" s="29"/>
      <c r="K10" s="29"/>
      <c r="L10" s="30"/>
    </row>
    <row r="11" spans="1:12" x14ac:dyDescent="0.2">
      <c r="A11" s="31">
        <v>10</v>
      </c>
      <c r="B11" s="34">
        <v>262.87425000000002</v>
      </c>
      <c r="C11" s="30">
        <v>32.097470000000001</v>
      </c>
      <c r="D11" s="30">
        <v>1.01352</v>
      </c>
      <c r="E11" s="29"/>
      <c r="F11" s="29"/>
      <c r="G11" s="35">
        <f t="shared" si="0"/>
        <v>3.0539915056985438</v>
      </c>
      <c r="H11" s="118">
        <f t="shared" si="1"/>
        <v>3.0539915056985438</v>
      </c>
      <c r="J11" s="29"/>
      <c r="K11" s="29"/>
      <c r="L11" s="30"/>
    </row>
    <row r="12" spans="1:12" x14ac:dyDescent="0.2">
      <c r="A12" s="31">
        <v>25</v>
      </c>
      <c r="B12" s="34">
        <v>276.43448999999998</v>
      </c>
      <c r="C12" s="30">
        <v>30.083480000000002</v>
      </c>
      <c r="D12" s="30">
        <v>1.00054</v>
      </c>
      <c r="E12" s="29"/>
      <c r="F12" s="29"/>
      <c r="G12" s="9">
        <f t="shared" si="0"/>
        <v>3.4867240214908106</v>
      </c>
      <c r="H12" s="9">
        <f t="shared" si="1"/>
        <v>3.4867240214908106</v>
      </c>
      <c r="J12" s="29"/>
      <c r="K12" s="29"/>
      <c r="L12" s="30"/>
    </row>
    <row r="13" spans="1:12" x14ac:dyDescent="0.2">
      <c r="A13" s="31">
        <v>50</v>
      </c>
      <c r="B13" s="34">
        <v>285.47241000000002</v>
      </c>
      <c r="C13" s="30">
        <v>28.74568</v>
      </c>
      <c r="D13" s="30">
        <v>0.9919</v>
      </c>
      <c r="E13" s="29"/>
      <c r="F13" s="29"/>
      <c r="G13" s="9">
        <f t="shared" si="0"/>
        <v>3.8031013436856722</v>
      </c>
      <c r="H13" s="9">
        <f t="shared" si="1"/>
        <v>3.8031013436856722</v>
      </c>
    </row>
    <row r="14" spans="1:12" x14ac:dyDescent="0.2">
      <c r="A14" s="31">
        <v>100</v>
      </c>
      <c r="B14" s="34">
        <v>293.96606000000003</v>
      </c>
      <c r="C14" s="30">
        <v>27.46491</v>
      </c>
      <c r="D14" s="30">
        <v>0.98372999999999999</v>
      </c>
      <c r="E14" s="29"/>
      <c r="F14" s="29"/>
      <c r="G14" s="9">
        <f t="shared" si="0"/>
        <v>4.1249049506813726</v>
      </c>
      <c r="H14" s="9">
        <f t="shared" si="1"/>
        <v>4.1249049506813726</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6.7481731804388216</v>
      </c>
      <c r="C19" s="30">
        <f t="shared" ref="C19:C26" si="2">A19/60</f>
        <v>8.3333333333333329E-2</v>
      </c>
      <c r="F19" s="29"/>
      <c r="G19" s="29"/>
      <c r="H19" s="29"/>
    </row>
    <row r="20" spans="1:8" x14ac:dyDescent="0.2">
      <c r="A20" s="29">
        <v>10</v>
      </c>
      <c r="B20" s="29">
        <f t="shared" ref="B20:B26" si="3">$B$11/($C$11+A20)^$D$11</f>
        <v>5.9365223807197536</v>
      </c>
      <c r="C20" s="30">
        <f t="shared" si="2"/>
        <v>0.16666666666666666</v>
      </c>
      <c r="F20" s="29"/>
      <c r="G20" s="29"/>
      <c r="H20" s="29"/>
    </row>
    <row r="21" spans="1:8" x14ac:dyDescent="0.2">
      <c r="A21" s="29">
        <v>30</v>
      </c>
      <c r="B21" s="29">
        <f t="shared" si="3"/>
        <v>4.0034257762304479</v>
      </c>
      <c r="C21" s="30">
        <f t="shared" si="2"/>
        <v>0.5</v>
      </c>
      <c r="F21" s="29"/>
      <c r="G21" s="29"/>
      <c r="H21" s="29"/>
    </row>
    <row r="22" spans="1:8" x14ac:dyDescent="0.2">
      <c r="A22" s="29">
        <v>60</v>
      </c>
      <c r="B22" s="29">
        <f t="shared" si="3"/>
        <v>2.6849964622910019</v>
      </c>
      <c r="C22" s="30">
        <f t="shared" si="2"/>
        <v>1</v>
      </c>
      <c r="F22" s="29"/>
      <c r="G22" s="29"/>
      <c r="H22" s="29"/>
    </row>
    <row r="23" spans="1:8" x14ac:dyDescent="0.2">
      <c r="A23" s="29">
        <v>180</v>
      </c>
      <c r="B23" s="29">
        <f t="shared" si="3"/>
        <v>1.1528101689724963</v>
      </c>
      <c r="C23" s="30">
        <f t="shared" si="2"/>
        <v>3</v>
      </c>
      <c r="F23" s="29"/>
      <c r="G23" s="29"/>
      <c r="H23" s="29"/>
    </row>
    <row r="24" spans="1:8" x14ac:dyDescent="0.2">
      <c r="A24" s="29">
        <v>360</v>
      </c>
      <c r="B24" s="29">
        <f t="shared" si="3"/>
        <v>0.61843109668095397</v>
      </c>
      <c r="C24" s="30">
        <f t="shared" si="2"/>
        <v>6</v>
      </c>
      <c r="F24" s="29"/>
      <c r="G24" s="33"/>
      <c r="H24" s="33"/>
    </row>
    <row r="25" spans="1:8" x14ac:dyDescent="0.2">
      <c r="A25" s="29">
        <v>840</v>
      </c>
      <c r="B25" s="29">
        <f t="shared" si="3"/>
        <v>0.27505945673039522</v>
      </c>
      <c r="C25" s="30">
        <f t="shared" si="2"/>
        <v>14</v>
      </c>
      <c r="F25" s="29"/>
      <c r="G25" s="9"/>
      <c r="H25" s="9"/>
    </row>
    <row r="26" spans="1:8" x14ac:dyDescent="0.2">
      <c r="A26" s="29">
        <v>1440</v>
      </c>
      <c r="B26" s="29">
        <f t="shared" si="3"/>
        <v>0.1618009167424245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686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6865" r:id="rId4"/>
      </mc:Fallback>
    </mc:AlternateContent>
  </oleObject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166</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256.38700999999998</v>
      </c>
      <c r="C9" s="30">
        <v>33.080030000000001</v>
      </c>
      <c r="D9" s="30">
        <v>1.0197799999999999</v>
      </c>
      <c r="E9" s="29"/>
      <c r="F9" s="29"/>
      <c r="G9" s="9">
        <f t="shared" ref="G9:G14" si="0">B9/(C9+$D$4)^D9</f>
        <v>2.8624118842784614</v>
      </c>
      <c r="H9" s="9">
        <f t="shared" ref="H9:H14" si="1">B9/(C9+$D$5)^D9</f>
        <v>2.8624118842784614</v>
      </c>
      <c r="J9" s="29"/>
      <c r="K9" s="29"/>
      <c r="L9" s="30"/>
    </row>
    <row r="10" spans="1:12" x14ac:dyDescent="0.2">
      <c r="A10" s="31">
        <v>5</v>
      </c>
      <c r="B10" s="34">
        <v>269.50522000000001</v>
      </c>
      <c r="C10" s="30">
        <v>31.108280000000001</v>
      </c>
      <c r="D10" s="30">
        <v>1.0071600000000001</v>
      </c>
      <c r="E10" s="29"/>
      <c r="F10" s="29"/>
      <c r="G10" s="9">
        <f t="shared" si="0"/>
        <v>3.2598373257267768</v>
      </c>
      <c r="H10" s="9">
        <f t="shared" si="1"/>
        <v>3.2598373257267768</v>
      </c>
      <c r="J10" s="29"/>
      <c r="K10" s="29"/>
      <c r="L10" s="30"/>
    </row>
    <row r="11" spans="1:12" x14ac:dyDescent="0.2">
      <c r="A11" s="31">
        <v>10</v>
      </c>
      <c r="B11" s="34">
        <v>277.79628000000002</v>
      </c>
      <c r="C11" s="30">
        <v>28.882449999999999</v>
      </c>
      <c r="D11" s="30">
        <v>0.99924000000000002</v>
      </c>
      <c r="E11" s="29"/>
      <c r="F11" s="29"/>
      <c r="G11" s="35">
        <f t="shared" si="0"/>
        <v>3.5781578682577933</v>
      </c>
      <c r="H11" s="118">
        <f t="shared" si="1"/>
        <v>3.5781578682577933</v>
      </c>
      <c r="J11" s="29"/>
      <c r="K11" s="29"/>
      <c r="L11" s="30"/>
    </row>
    <row r="12" spans="1:12" x14ac:dyDescent="0.2">
      <c r="A12" s="31">
        <v>25</v>
      </c>
      <c r="B12" s="34">
        <v>288.37076999999999</v>
      </c>
      <c r="C12" s="30">
        <v>28.31259</v>
      </c>
      <c r="D12" s="30">
        <v>0.98912</v>
      </c>
      <c r="E12" s="29"/>
      <c r="F12" s="29"/>
      <c r="G12" s="9">
        <f t="shared" si="0"/>
        <v>3.9100340854165587</v>
      </c>
      <c r="H12" s="9">
        <f t="shared" si="1"/>
        <v>3.9100340854165587</v>
      </c>
      <c r="J12" s="29"/>
      <c r="K12" s="29"/>
      <c r="L12" s="30"/>
    </row>
    <row r="13" spans="1:12" x14ac:dyDescent="0.2">
      <c r="A13" s="31">
        <v>50</v>
      </c>
      <c r="B13" s="34">
        <v>295.59257000000002</v>
      </c>
      <c r="C13" s="30">
        <v>27.21407</v>
      </c>
      <c r="D13" s="30">
        <v>0.98214999999999997</v>
      </c>
      <c r="E13" s="29"/>
      <c r="F13" s="29"/>
      <c r="G13" s="9">
        <f t="shared" si="0"/>
        <v>4.1897449222712266</v>
      </c>
      <c r="H13" s="9">
        <f t="shared" si="1"/>
        <v>4.1897449222712266</v>
      </c>
    </row>
    <row r="14" spans="1:12" x14ac:dyDescent="0.2">
      <c r="A14" s="31">
        <v>100</v>
      </c>
      <c r="B14" s="34">
        <v>302.0052</v>
      </c>
      <c r="C14" s="30">
        <v>26.200060000000001</v>
      </c>
      <c r="D14" s="30">
        <v>0.97585999999999995</v>
      </c>
      <c r="E14" s="29"/>
      <c r="F14" s="29"/>
      <c r="G14" s="9">
        <f t="shared" si="0"/>
        <v>4.4567942216465743</v>
      </c>
      <c r="H14" s="9">
        <f t="shared" si="1"/>
        <v>4.4567942216465743</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8.2208060176874191</v>
      </c>
      <c r="C19" s="30">
        <f t="shared" ref="C19:C26" si="2">A19/60</f>
        <v>8.3333333333333329E-2</v>
      </c>
      <c r="F19" s="29"/>
      <c r="G19" s="29"/>
      <c r="H19" s="29"/>
    </row>
    <row r="20" spans="1:8" x14ac:dyDescent="0.2">
      <c r="A20" s="29">
        <v>10</v>
      </c>
      <c r="B20" s="29">
        <f t="shared" ref="B20:B26" si="3">$B$11/($C$11+A20)^$D$11</f>
        <v>7.1644196490861196</v>
      </c>
      <c r="C20" s="30">
        <f t="shared" si="2"/>
        <v>0.16666666666666666</v>
      </c>
      <c r="F20" s="29"/>
      <c r="G20" s="29"/>
      <c r="H20" s="29"/>
    </row>
    <row r="21" spans="1:8" x14ac:dyDescent="0.2">
      <c r="A21" s="29">
        <v>30</v>
      </c>
      <c r="B21" s="29">
        <f t="shared" si="3"/>
        <v>4.7324468275129954</v>
      </c>
      <c r="C21" s="30">
        <f t="shared" si="2"/>
        <v>0.5</v>
      </c>
      <c r="F21" s="29"/>
      <c r="G21" s="29"/>
      <c r="H21" s="29"/>
    </row>
    <row r="22" spans="1:8" x14ac:dyDescent="0.2">
      <c r="A22" s="29">
        <v>60</v>
      </c>
      <c r="B22" s="29">
        <f t="shared" si="3"/>
        <v>3.1361115990088893</v>
      </c>
      <c r="C22" s="30">
        <f t="shared" si="2"/>
        <v>1</v>
      </c>
      <c r="F22" s="29"/>
      <c r="G22" s="29"/>
      <c r="H22" s="29"/>
    </row>
    <row r="23" spans="1:8" x14ac:dyDescent="0.2">
      <c r="A23" s="29">
        <v>180</v>
      </c>
      <c r="B23" s="29">
        <f t="shared" si="3"/>
        <v>1.3353269019006699</v>
      </c>
      <c r="C23" s="30">
        <f t="shared" si="2"/>
        <v>3</v>
      </c>
      <c r="F23" s="29"/>
      <c r="G23" s="29"/>
      <c r="H23" s="29"/>
    </row>
    <row r="24" spans="1:8" x14ac:dyDescent="0.2">
      <c r="A24" s="29">
        <v>360</v>
      </c>
      <c r="B24" s="29">
        <f t="shared" si="3"/>
        <v>0.71758994311014623</v>
      </c>
      <c r="C24" s="30">
        <f t="shared" si="2"/>
        <v>6</v>
      </c>
      <c r="F24" s="29"/>
      <c r="G24" s="33"/>
      <c r="H24" s="33"/>
    </row>
    <row r="25" spans="1:8" x14ac:dyDescent="0.2">
      <c r="A25" s="29">
        <v>840</v>
      </c>
      <c r="B25" s="29">
        <f t="shared" si="3"/>
        <v>0.32136532192825784</v>
      </c>
      <c r="C25" s="30">
        <f t="shared" si="2"/>
        <v>14</v>
      </c>
      <c r="F25" s="29"/>
      <c r="G25" s="9"/>
      <c r="H25" s="9"/>
    </row>
    <row r="26" spans="1:8" x14ac:dyDescent="0.2">
      <c r="A26" s="29">
        <v>1440</v>
      </c>
      <c r="B26" s="29">
        <f t="shared" si="3"/>
        <v>0.19017187740663125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788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7889" r:id="rId4"/>
      </mc:Fallback>
    </mc:AlternateContent>
  </oleObject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167</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245.63889</v>
      </c>
      <c r="C9" s="30">
        <v>34.752040000000001</v>
      </c>
      <c r="D9" s="30">
        <v>1.03027</v>
      </c>
      <c r="E9" s="29"/>
      <c r="F9" s="29"/>
      <c r="G9" s="9">
        <f t="shared" ref="G9:G14" si="0">B9/(C9+$D$4)^D9</f>
        <v>2.5646642306389476</v>
      </c>
      <c r="H9" s="9">
        <f t="shared" ref="H9:H14" si="1">B9/(C9+$D$5)^D9</f>
        <v>2.5646642306389476</v>
      </c>
      <c r="J9" s="29"/>
      <c r="K9" s="29"/>
      <c r="L9" s="30"/>
    </row>
    <row r="10" spans="1:12" x14ac:dyDescent="0.2">
      <c r="A10" s="31">
        <v>5</v>
      </c>
      <c r="B10" s="34">
        <v>258.82004999999998</v>
      </c>
      <c r="C10" s="30">
        <v>32.709200000000003</v>
      </c>
      <c r="D10" s="30">
        <v>1.01742</v>
      </c>
      <c r="E10" s="29"/>
      <c r="F10" s="29"/>
      <c r="G10" s="9">
        <f t="shared" si="0"/>
        <v>2.9332717015055603</v>
      </c>
      <c r="H10" s="9">
        <f t="shared" si="1"/>
        <v>2.9332717015055603</v>
      </c>
      <c r="J10" s="29"/>
      <c r="K10" s="29"/>
      <c r="L10" s="30"/>
    </row>
    <row r="11" spans="1:12" x14ac:dyDescent="0.2">
      <c r="A11" s="31">
        <v>10</v>
      </c>
      <c r="B11" s="34">
        <v>268.10935999999998</v>
      </c>
      <c r="C11" s="30">
        <v>31.315519999999999</v>
      </c>
      <c r="D11" s="30">
        <v>1.0085</v>
      </c>
      <c r="E11" s="29"/>
      <c r="F11" s="29"/>
      <c r="G11" s="35">
        <f t="shared" si="0"/>
        <v>3.2155722245229099</v>
      </c>
      <c r="H11" s="118">
        <f t="shared" si="1"/>
        <v>3.2155722245229099</v>
      </c>
      <c r="J11" s="29"/>
      <c r="K11" s="29"/>
      <c r="L11" s="30"/>
    </row>
    <row r="12" spans="1:12" x14ac:dyDescent="0.2">
      <c r="A12" s="31">
        <v>25</v>
      </c>
      <c r="B12" s="34">
        <v>280.32646</v>
      </c>
      <c r="C12" s="30">
        <v>29.508700000000001</v>
      </c>
      <c r="D12" s="30">
        <v>0.99682000000000004</v>
      </c>
      <c r="E12" s="29"/>
      <c r="F12" s="29"/>
      <c r="G12" s="9">
        <f t="shared" si="0"/>
        <v>3.619995250635383</v>
      </c>
      <c r="H12" s="9">
        <f t="shared" si="1"/>
        <v>3.619995250635383</v>
      </c>
      <c r="J12" s="29"/>
      <c r="K12" s="29"/>
      <c r="L12" s="30"/>
    </row>
    <row r="13" spans="1:12" x14ac:dyDescent="0.2">
      <c r="A13" s="31">
        <v>50</v>
      </c>
      <c r="B13" s="34">
        <v>288.72570999999999</v>
      </c>
      <c r="C13" s="30">
        <v>28.259239999999998</v>
      </c>
      <c r="D13" s="30">
        <v>0.98877999999999999</v>
      </c>
      <c r="E13" s="29"/>
      <c r="F13" s="29"/>
      <c r="G13" s="9">
        <f t="shared" si="0"/>
        <v>3.9233149587831342</v>
      </c>
      <c r="H13" s="9">
        <f t="shared" si="1"/>
        <v>3.9233149587831342</v>
      </c>
    </row>
    <row r="14" spans="1:12" x14ac:dyDescent="0.2">
      <c r="A14" s="31">
        <v>100</v>
      </c>
      <c r="B14" s="34">
        <v>296.68747999999999</v>
      </c>
      <c r="C14" s="30">
        <v>27.044270000000001</v>
      </c>
      <c r="D14" s="30">
        <v>0.98107999999999995</v>
      </c>
      <c r="E14" s="29"/>
      <c r="F14" s="29"/>
      <c r="G14" s="9">
        <f t="shared" si="0"/>
        <v>4.2340630931899286</v>
      </c>
      <c r="H14" s="9">
        <f t="shared" si="1"/>
        <v>4.2340630931899286</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7.1607568069913077</v>
      </c>
      <c r="C19" s="30">
        <f t="shared" ref="C19:C26" si="2">A19/60</f>
        <v>8.3333333333333329E-2</v>
      </c>
      <c r="F19" s="29"/>
      <c r="G19" s="29"/>
      <c r="H19" s="29"/>
    </row>
    <row r="20" spans="1:8" x14ac:dyDescent="0.2">
      <c r="A20" s="29">
        <v>10</v>
      </c>
      <c r="B20" s="29">
        <f t="shared" ref="B20:B26" si="3">$B$11/($C$11+A20)^$D$11</f>
        <v>6.2872653574720339</v>
      </c>
      <c r="C20" s="30">
        <f t="shared" si="2"/>
        <v>0.16666666666666666</v>
      </c>
      <c r="F20" s="29"/>
      <c r="G20" s="29"/>
      <c r="H20" s="29"/>
    </row>
    <row r="21" spans="1:8" x14ac:dyDescent="0.2">
      <c r="A21" s="29">
        <v>30</v>
      </c>
      <c r="B21" s="29">
        <f t="shared" si="3"/>
        <v>4.222281765191533</v>
      </c>
      <c r="C21" s="30">
        <f t="shared" si="2"/>
        <v>0.5</v>
      </c>
      <c r="F21" s="29"/>
      <c r="G21" s="29"/>
      <c r="H21" s="29"/>
    </row>
    <row r="22" spans="1:8" x14ac:dyDescent="0.2">
      <c r="A22" s="29">
        <v>60</v>
      </c>
      <c r="B22" s="29">
        <f t="shared" si="3"/>
        <v>2.8255483961736276</v>
      </c>
      <c r="C22" s="30">
        <f t="shared" si="2"/>
        <v>1</v>
      </c>
      <c r="F22" s="29"/>
      <c r="G22" s="29"/>
      <c r="H22" s="29"/>
    </row>
    <row r="23" spans="1:8" x14ac:dyDescent="0.2">
      <c r="A23" s="29">
        <v>180</v>
      </c>
      <c r="B23" s="29">
        <f t="shared" si="3"/>
        <v>1.2123238923051667</v>
      </c>
      <c r="C23" s="30">
        <f t="shared" si="2"/>
        <v>3</v>
      </c>
      <c r="F23" s="29"/>
      <c r="G23" s="29"/>
      <c r="H23" s="29"/>
    </row>
    <row r="24" spans="1:8" x14ac:dyDescent="0.2">
      <c r="A24" s="29">
        <v>360</v>
      </c>
      <c r="B24" s="29">
        <f t="shared" si="3"/>
        <v>0.65125102974178861</v>
      </c>
      <c r="C24" s="30">
        <f t="shared" si="2"/>
        <v>6</v>
      </c>
      <c r="F24" s="29"/>
      <c r="G24" s="33"/>
      <c r="H24" s="33"/>
    </row>
    <row r="25" spans="1:8" x14ac:dyDescent="0.2">
      <c r="A25" s="29">
        <v>840</v>
      </c>
      <c r="B25" s="29">
        <f t="shared" si="3"/>
        <v>0.29049926293066847</v>
      </c>
      <c r="C25" s="30">
        <f t="shared" si="2"/>
        <v>14</v>
      </c>
      <c r="F25" s="29"/>
      <c r="G25" s="9"/>
      <c r="H25" s="9"/>
    </row>
    <row r="26" spans="1:8" x14ac:dyDescent="0.2">
      <c r="A26" s="29">
        <v>1440</v>
      </c>
      <c r="B26" s="29">
        <f t="shared" si="3"/>
        <v>0.17126974866984873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891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8913" r:id="rId4"/>
      </mc:Fallback>
    </mc:AlternateContent>
  </oleObject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168</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239.63176000000001</v>
      </c>
      <c r="C9" s="30">
        <v>35.717820000000003</v>
      </c>
      <c r="D9" s="30">
        <v>1.0362199999999999</v>
      </c>
      <c r="E9" s="29"/>
      <c r="F9" s="29"/>
      <c r="G9" s="9">
        <f t="shared" ref="G9:G14" si="0">B9/(C9+$D$4)^D9</f>
        <v>2.4081113598698667</v>
      </c>
      <c r="H9" s="9">
        <f t="shared" ref="H9:H14" si="1">B9/(C9+$D$5)^D9</f>
        <v>2.4081113598698667</v>
      </c>
      <c r="J9" s="29"/>
      <c r="K9" s="29"/>
      <c r="L9" s="30"/>
    </row>
    <row r="10" spans="1:12" x14ac:dyDescent="0.2">
      <c r="A10" s="31">
        <v>5</v>
      </c>
      <c r="B10" s="34">
        <v>254.10798</v>
      </c>
      <c r="C10" s="30">
        <v>33.429119999999998</v>
      </c>
      <c r="D10" s="30">
        <v>1.02199</v>
      </c>
      <c r="E10" s="29"/>
      <c r="F10" s="29"/>
      <c r="G10" s="9">
        <f t="shared" si="0"/>
        <v>2.7973086616934006</v>
      </c>
      <c r="H10" s="9">
        <f t="shared" si="1"/>
        <v>2.7973086616934006</v>
      </c>
      <c r="J10" s="29"/>
      <c r="K10" s="29"/>
      <c r="L10" s="30"/>
    </row>
    <row r="11" spans="1:12" x14ac:dyDescent="0.2">
      <c r="A11" s="31">
        <v>10</v>
      </c>
      <c r="B11" s="34">
        <v>264.19040000000001</v>
      </c>
      <c r="C11" s="30">
        <v>31.900130000000001</v>
      </c>
      <c r="D11" s="30">
        <v>1.0122500000000001</v>
      </c>
      <c r="E11" s="29"/>
      <c r="F11" s="29"/>
      <c r="G11" s="35">
        <f t="shared" si="0"/>
        <v>3.0940848760109536</v>
      </c>
      <c r="H11" s="118">
        <f t="shared" si="1"/>
        <v>3.0940848760109536</v>
      </c>
      <c r="J11" s="29"/>
      <c r="K11" s="29"/>
      <c r="L11" s="30"/>
    </row>
    <row r="12" spans="1:12" x14ac:dyDescent="0.2">
      <c r="A12" s="31">
        <v>25</v>
      </c>
      <c r="B12" s="34">
        <v>277.46460000000002</v>
      </c>
      <c r="C12" s="30">
        <v>29.93141</v>
      </c>
      <c r="D12" s="30">
        <v>0.99956</v>
      </c>
      <c r="E12" s="29"/>
      <c r="F12" s="29"/>
      <c r="G12" s="9">
        <f t="shared" si="0"/>
        <v>3.5215068270970438</v>
      </c>
      <c r="H12" s="9">
        <f t="shared" si="1"/>
        <v>3.5215068270970438</v>
      </c>
      <c r="J12" s="29"/>
      <c r="K12" s="29"/>
      <c r="L12" s="30"/>
    </row>
    <row r="13" spans="1:12" x14ac:dyDescent="0.2">
      <c r="A13" s="31">
        <v>50</v>
      </c>
      <c r="B13" s="34">
        <v>286.11426999999998</v>
      </c>
      <c r="C13" s="30">
        <v>28.650040000000001</v>
      </c>
      <c r="D13" s="30">
        <v>0.99129</v>
      </c>
      <c r="E13" s="29"/>
      <c r="F13" s="29"/>
      <c r="G13" s="9">
        <f t="shared" si="0"/>
        <v>3.8264538097740104</v>
      </c>
      <c r="H13" s="9">
        <f t="shared" si="1"/>
        <v>3.8264538097740104</v>
      </c>
    </row>
    <row r="14" spans="1:12" x14ac:dyDescent="0.2">
      <c r="A14" s="31">
        <v>100</v>
      </c>
      <c r="B14" s="34">
        <v>294.58067999999997</v>
      </c>
      <c r="C14" s="30">
        <v>27.370539999999998</v>
      </c>
      <c r="D14" s="30">
        <v>0.98312999999999995</v>
      </c>
      <c r="E14" s="29"/>
      <c r="F14" s="29"/>
      <c r="G14" s="9">
        <f t="shared" si="0"/>
        <v>4.1493333208615999</v>
      </c>
      <c r="H14" s="9">
        <f t="shared" si="1"/>
        <v>4.1493333208615999</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6.850039006148112</v>
      </c>
      <c r="C19" s="30">
        <f t="shared" ref="C19:C26" si="2">A19/60</f>
        <v>8.3333333333333329E-2</v>
      </c>
      <c r="F19" s="29"/>
      <c r="G19" s="29"/>
      <c r="H19" s="29"/>
    </row>
    <row r="20" spans="1:8" x14ac:dyDescent="0.2">
      <c r="A20" s="29">
        <v>10</v>
      </c>
      <c r="B20" s="29">
        <f t="shared" ref="B20:B26" si="3">$B$11/($C$11+A20)^$D$11</f>
        <v>6.0232310606968618</v>
      </c>
      <c r="C20" s="30">
        <f t="shared" si="2"/>
        <v>0.16666666666666666</v>
      </c>
      <c r="F20" s="29"/>
      <c r="G20" s="29"/>
      <c r="H20" s="29"/>
    </row>
    <row r="21" spans="1:8" x14ac:dyDescent="0.2">
      <c r="A21" s="29">
        <v>30</v>
      </c>
      <c r="B21" s="29">
        <f t="shared" si="3"/>
        <v>4.0576749109676653</v>
      </c>
      <c r="C21" s="30">
        <f t="shared" si="2"/>
        <v>0.5</v>
      </c>
      <c r="F21" s="29"/>
      <c r="G21" s="29"/>
      <c r="H21" s="29"/>
    </row>
    <row r="22" spans="1:8" x14ac:dyDescent="0.2">
      <c r="A22" s="29">
        <v>60</v>
      </c>
      <c r="B22" s="29">
        <f t="shared" si="3"/>
        <v>2.7198833855765869</v>
      </c>
      <c r="C22" s="30">
        <f t="shared" si="2"/>
        <v>1</v>
      </c>
      <c r="F22" s="29"/>
      <c r="G22" s="29"/>
      <c r="H22" s="29"/>
    </row>
    <row r="23" spans="1:8" x14ac:dyDescent="0.2">
      <c r="A23" s="29">
        <v>180</v>
      </c>
      <c r="B23" s="29">
        <f t="shared" si="3"/>
        <v>1.1675909007363274</v>
      </c>
      <c r="C23" s="30">
        <f t="shared" si="2"/>
        <v>3</v>
      </c>
      <c r="F23" s="29"/>
      <c r="G23" s="29"/>
      <c r="H23" s="29"/>
    </row>
    <row r="24" spans="1:8" x14ac:dyDescent="0.2">
      <c r="A24" s="29">
        <v>360</v>
      </c>
      <c r="B24" s="29">
        <f t="shared" si="3"/>
        <v>0.62657812117546752</v>
      </c>
      <c r="C24" s="30">
        <f t="shared" si="2"/>
        <v>6</v>
      </c>
      <c r="F24" s="29"/>
      <c r="G24" s="33"/>
      <c r="H24" s="33"/>
    </row>
    <row r="25" spans="1:8" x14ac:dyDescent="0.2">
      <c r="A25" s="29">
        <v>840</v>
      </c>
      <c r="B25" s="29">
        <f t="shared" si="3"/>
        <v>0.27888783597539957</v>
      </c>
      <c r="C25" s="30">
        <f t="shared" si="2"/>
        <v>14</v>
      </c>
      <c r="F25" s="29"/>
      <c r="G25" s="9"/>
      <c r="H25" s="9"/>
    </row>
    <row r="26" spans="1:8" x14ac:dyDescent="0.2">
      <c r="A26" s="29">
        <v>1440</v>
      </c>
      <c r="B26" s="29">
        <f t="shared" si="3"/>
        <v>0.16414670867200987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993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9937" r:id="rId4"/>
      </mc:Fallback>
    </mc:AlternateContent>
  </oleObject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169</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237.34362999999999</v>
      </c>
      <c r="C9" s="30">
        <v>36.09198</v>
      </c>
      <c r="D9" s="30">
        <v>1.03851</v>
      </c>
      <c r="E9" s="29"/>
      <c r="F9" s="29"/>
      <c r="G9" s="9">
        <f t="shared" ref="G9:G14" si="0">B9/(C9+$D$4)^D9</f>
        <v>2.3502133155098939</v>
      </c>
      <c r="H9" s="9">
        <f t="shared" ref="H9:H14" si="1">B9/(C9+$D$5)^D9</f>
        <v>2.3502133155098939</v>
      </c>
      <c r="J9" s="29"/>
      <c r="K9" s="29"/>
      <c r="L9" s="30"/>
    </row>
    <row r="10" spans="1:12" x14ac:dyDescent="0.2">
      <c r="A10" s="31">
        <v>5</v>
      </c>
      <c r="B10" s="34">
        <v>253.41210000000001</v>
      </c>
      <c r="C10" s="30">
        <v>33.536160000000002</v>
      </c>
      <c r="D10" s="30">
        <v>1.0226599999999999</v>
      </c>
      <c r="E10" s="29"/>
      <c r="F10" s="29"/>
      <c r="G10" s="9">
        <f t="shared" si="0"/>
        <v>2.7777255477521443</v>
      </c>
      <c r="H10" s="9">
        <f t="shared" si="1"/>
        <v>2.7777255477521443</v>
      </c>
      <c r="J10" s="29"/>
      <c r="K10" s="29"/>
      <c r="L10" s="30"/>
    </row>
    <row r="11" spans="1:12" x14ac:dyDescent="0.2">
      <c r="A11" s="31">
        <v>10</v>
      </c>
      <c r="B11" s="34">
        <v>263.81267000000003</v>
      </c>
      <c r="C11" s="30">
        <v>31.956610000000001</v>
      </c>
      <c r="D11" s="30">
        <v>1.0126200000000001</v>
      </c>
      <c r="E11" s="29"/>
      <c r="F11" s="29"/>
      <c r="G11" s="35">
        <f t="shared" si="0"/>
        <v>3.0824639065875017</v>
      </c>
      <c r="H11" s="118">
        <f t="shared" si="1"/>
        <v>3.0824639065875017</v>
      </c>
      <c r="J11" s="29"/>
      <c r="K11" s="29"/>
      <c r="L11" s="30"/>
    </row>
    <row r="12" spans="1:12" x14ac:dyDescent="0.2">
      <c r="A12" s="31">
        <v>25</v>
      </c>
      <c r="B12" s="34">
        <v>277.26485000000002</v>
      </c>
      <c r="C12" s="30">
        <v>29.960899999999999</v>
      </c>
      <c r="D12" s="30">
        <v>0.99975000000000003</v>
      </c>
      <c r="E12" s="29"/>
      <c r="F12" s="29"/>
      <c r="G12" s="9">
        <f t="shared" si="0"/>
        <v>3.514739275113048</v>
      </c>
      <c r="H12" s="9">
        <f t="shared" si="1"/>
        <v>3.514739275113048</v>
      </c>
      <c r="J12" s="29"/>
      <c r="K12" s="29"/>
      <c r="L12" s="30"/>
    </row>
    <row r="13" spans="1:12" x14ac:dyDescent="0.2">
      <c r="A13" s="31">
        <v>50</v>
      </c>
      <c r="B13" s="34">
        <v>286.66127999999998</v>
      </c>
      <c r="C13" s="30">
        <v>28.568349999999999</v>
      </c>
      <c r="D13" s="30">
        <v>0.99075999999999997</v>
      </c>
      <c r="E13" s="29"/>
      <c r="F13" s="29"/>
      <c r="G13" s="9">
        <f t="shared" si="0"/>
        <v>3.846632000928893</v>
      </c>
      <c r="H13" s="9">
        <f t="shared" si="1"/>
        <v>3.846632000928893</v>
      </c>
    </row>
    <row r="14" spans="1:12" x14ac:dyDescent="0.2">
      <c r="A14" s="31">
        <v>100</v>
      </c>
      <c r="B14" s="34">
        <v>295.16735</v>
      </c>
      <c r="C14" s="30">
        <v>27.279720000000001</v>
      </c>
      <c r="D14" s="30">
        <v>0.98255999999999999</v>
      </c>
      <c r="E14" s="29"/>
      <c r="F14" s="29"/>
      <c r="G14" s="9">
        <f t="shared" si="0"/>
        <v>4.1727596127013191</v>
      </c>
      <c r="H14" s="9">
        <f t="shared" si="1"/>
        <v>4.1727596127013191</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6.8205476572911365</v>
      </c>
      <c r="C19" s="30">
        <f t="shared" ref="C19:C26" si="2">A19/60</f>
        <v>8.3333333333333329E-2</v>
      </c>
      <c r="F19" s="29"/>
      <c r="G19" s="29"/>
      <c r="H19" s="29"/>
    </row>
    <row r="20" spans="1:8" x14ac:dyDescent="0.2">
      <c r="A20" s="29">
        <v>10</v>
      </c>
      <c r="B20" s="29">
        <f t="shared" ref="B20:B26" si="3">$B$11/($C$11+A20)^$D$11</f>
        <v>5.9981250739786809</v>
      </c>
      <c r="C20" s="30">
        <f t="shared" si="2"/>
        <v>0.16666666666666666</v>
      </c>
      <c r="F20" s="29"/>
      <c r="G20" s="29"/>
      <c r="H20" s="29"/>
    </row>
    <row r="21" spans="1:8" x14ac:dyDescent="0.2">
      <c r="A21" s="29">
        <v>30</v>
      </c>
      <c r="B21" s="29">
        <f t="shared" si="3"/>
        <v>4.0419585565408696</v>
      </c>
      <c r="C21" s="30">
        <f t="shared" si="2"/>
        <v>0.5</v>
      </c>
      <c r="F21" s="29"/>
      <c r="G21" s="29"/>
      <c r="H21" s="29"/>
    </row>
    <row r="22" spans="1:8" x14ac:dyDescent="0.2">
      <c r="A22" s="29">
        <v>60</v>
      </c>
      <c r="B22" s="29">
        <f t="shared" si="3"/>
        <v>2.7097690615377084</v>
      </c>
      <c r="C22" s="30">
        <f t="shared" si="2"/>
        <v>1</v>
      </c>
      <c r="F22" s="29"/>
      <c r="G22" s="29"/>
      <c r="H22" s="29"/>
    </row>
    <row r="23" spans="1:8" x14ac:dyDescent="0.2">
      <c r="A23" s="29">
        <v>180</v>
      </c>
      <c r="B23" s="29">
        <f t="shared" si="3"/>
        <v>1.1632992492029777</v>
      </c>
      <c r="C23" s="30">
        <f t="shared" si="2"/>
        <v>3</v>
      </c>
      <c r="F23" s="29"/>
      <c r="G23" s="29"/>
      <c r="H23" s="29"/>
    </row>
    <row r="24" spans="1:8" x14ac:dyDescent="0.2">
      <c r="A24" s="29">
        <v>360</v>
      </c>
      <c r="B24" s="29">
        <f t="shared" si="3"/>
        <v>0.62421038973819332</v>
      </c>
      <c r="C24" s="30">
        <f t="shared" si="2"/>
        <v>6</v>
      </c>
      <c r="F24" s="29"/>
      <c r="G24" s="33"/>
      <c r="H24" s="33"/>
    </row>
    <row r="25" spans="1:8" x14ac:dyDescent="0.2">
      <c r="A25" s="29">
        <v>840</v>
      </c>
      <c r="B25" s="29">
        <f t="shared" si="3"/>
        <v>0.27777408762219719</v>
      </c>
      <c r="C25" s="30">
        <f t="shared" si="2"/>
        <v>14</v>
      </c>
      <c r="F25" s="29"/>
      <c r="G25" s="9"/>
      <c r="H25" s="9"/>
    </row>
    <row r="26" spans="1:8" x14ac:dyDescent="0.2">
      <c r="A26" s="29">
        <v>1440</v>
      </c>
      <c r="B26" s="29">
        <f t="shared" si="3"/>
        <v>0.16346388113708937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4096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40961" r:id="rId4"/>
      </mc:Fallback>
    </mc:AlternateContent>
  </oleObjec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4"/>
  <sheetViews>
    <sheetView workbookViewId="0">
      <selection activeCell="F45" sqref="F45"/>
    </sheetView>
  </sheetViews>
  <sheetFormatPr defaultRowHeight="12.75" x14ac:dyDescent="0.2"/>
  <cols>
    <col min="11" max="11" width="24.28515625" customWidth="1"/>
  </cols>
  <sheetData>
    <row r="2" spans="1:11" x14ac:dyDescent="0.2">
      <c r="K2" t="s">
        <v>131</v>
      </c>
    </row>
    <row r="3" spans="1:11" x14ac:dyDescent="0.2">
      <c r="K3" t="s">
        <v>132</v>
      </c>
    </row>
    <row r="4" spans="1:11" x14ac:dyDescent="0.2">
      <c r="A4" s="207" t="s">
        <v>116</v>
      </c>
      <c r="B4" s="207"/>
      <c r="C4" s="207"/>
      <c r="D4" s="207"/>
      <c r="E4" s="207"/>
      <c r="K4" t="s">
        <v>133</v>
      </c>
    </row>
    <row r="5" spans="1:11" x14ac:dyDescent="0.2">
      <c r="A5" s="207"/>
      <c r="B5" s="207"/>
      <c r="C5" s="207"/>
      <c r="D5" s="207"/>
      <c r="E5" s="207"/>
      <c r="K5" t="s">
        <v>134</v>
      </c>
    </row>
    <row r="6" spans="1:11" ht="25.5" x14ac:dyDescent="0.2">
      <c r="A6" s="38" t="s">
        <v>117</v>
      </c>
      <c r="B6" s="39" t="s">
        <v>118</v>
      </c>
      <c r="C6" s="39" t="s">
        <v>119</v>
      </c>
      <c r="D6" s="39" t="s">
        <v>120</v>
      </c>
      <c r="E6" s="39" t="s">
        <v>121</v>
      </c>
    </row>
    <row r="7" spans="1:11" x14ac:dyDescent="0.2">
      <c r="A7" s="4" t="s">
        <v>122</v>
      </c>
      <c r="B7" s="7">
        <v>0.1</v>
      </c>
      <c r="C7" s="40">
        <v>2.3054999999999999</v>
      </c>
      <c r="D7" s="40">
        <v>-0.51429000000000002</v>
      </c>
      <c r="E7" s="40">
        <v>-0.11749999999999999</v>
      </c>
    </row>
    <row r="8" spans="1:11" x14ac:dyDescent="0.2">
      <c r="A8" s="37"/>
      <c r="B8" s="7">
        <v>0.2</v>
      </c>
      <c r="C8" s="40">
        <v>2.2353700000000001</v>
      </c>
      <c r="D8" s="40">
        <v>-0.50387000000000004</v>
      </c>
      <c r="E8" s="40">
        <v>-8.9289999999999994E-2</v>
      </c>
    </row>
    <row r="9" spans="1:11" x14ac:dyDescent="0.2">
      <c r="A9" s="37"/>
      <c r="B9" s="7">
        <v>0.25</v>
      </c>
      <c r="C9" s="40">
        <v>2.1821899999999999</v>
      </c>
      <c r="D9" s="40">
        <v>-0.48487999999999998</v>
      </c>
      <c r="E9" s="40">
        <v>-6.5890000000000004E-2</v>
      </c>
    </row>
    <row r="10" spans="1:11" x14ac:dyDescent="0.2">
      <c r="A10" s="37"/>
      <c r="B10" s="7">
        <v>0.3</v>
      </c>
      <c r="C10" s="40">
        <v>2.1062400000000001</v>
      </c>
      <c r="D10" s="40">
        <v>-0.45695000000000002</v>
      </c>
      <c r="E10" s="40">
        <v>-2.835E-2</v>
      </c>
    </row>
    <row r="11" spans="1:11" x14ac:dyDescent="0.2">
      <c r="A11" s="37"/>
      <c r="B11" s="7">
        <v>0.35</v>
      </c>
      <c r="C11" s="40">
        <v>2.0030299999999999</v>
      </c>
      <c r="D11" s="40">
        <v>-0.40769</v>
      </c>
      <c r="E11" s="40">
        <v>1.983E-2</v>
      </c>
    </row>
    <row r="12" spans="1:11" x14ac:dyDescent="0.2">
      <c r="A12" s="37"/>
      <c r="B12" s="7">
        <v>0.4</v>
      </c>
      <c r="C12" s="40">
        <v>1.8773299999999999</v>
      </c>
      <c r="D12" s="40">
        <v>-0.32274000000000003</v>
      </c>
      <c r="E12" s="40">
        <v>5.7540000000000001E-2</v>
      </c>
    </row>
    <row r="13" spans="1:11" x14ac:dyDescent="0.2">
      <c r="A13" s="37"/>
      <c r="B13" s="7">
        <v>0.45</v>
      </c>
      <c r="C13" s="40">
        <v>1.76312</v>
      </c>
      <c r="D13" s="40">
        <v>-0.15644</v>
      </c>
      <c r="E13" s="40">
        <v>4.5300000000000002E-3</v>
      </c>
    </row>
    <row r="14" spans="1:11" x14ac:dyDescent="0.2">
      <c r="A14" s="37"/>
      <c r="B14" s="7">
        <v>0.5</v>
      </c>
      <c r="C14" s="40">
        <v>1.67889</v>
      </c>
      <c r="D14" s="40">
        <v>-6.93E-2</v>
      </c>
      <c r="E14" s="40">
        <v>0</v>
      </c>
    </row>
    <row r="15" spans="1:11" x14ac:dyDescent="0.2">
      <c r="A15" s="37"/>
      <c r="B15" s="7"/>
      <c r="C15" s="40"/>
      <c r="D15" s="40"/>
      <c r="E15" s="40"/>
    </row>
    <row r="16" spans="1:11" x14ac:dyDescent="0.2">
      <c r="A16" s="4" t="s">
        <v>123</v>
      </c>
      <c r="B16" s="7">
        <v>0.1</v>
      </c>
      <c r="C16" s="40">
        <v>2.0325000000000002</v>
      </c>
      <c r="D16" s="40">
        <v>-0.31583</v>
      </c>
      <c r="E16" s="40">
        <v>-0.13747999999999999</v>
      </c>
    </row>
    <row r="17" spans="1:5" x14ac:dyDescent="0.2">
      <c r="A17" s="37"/>
      <c r="B17" s="7">
        <v>0.2</v>
      </c>
      <c r="C17" s="40">
        <v>1.91978</v>
      </c>
      <c r="D17" s="40">
        <v>-0.28215000000000001</v>
      </c>
      <c r="E17" s="40">
        <v>-7.0199999999999999E-2</v>
      </c>
    </row>
    <row r="18" spans="1:5" x14ac:dyDescent="0.2">
      <c r="A18" s="37"/>
      <c r="B18" s="7">
        <v>0.25</v>
      </c>
      <c r="C18" s="40">
        <v>1.8384199999999999</v>
      </c>
      <c r="D18" s="40">
        <v>-0.25542999999999999</v>
      </c>
      <c r="E18" s="40">
        <v>-2.597E-2</v>
      </c>
    </row>
    <row r="19" spans="1:5" x14ac:dyDescent="0.2">
      <c r="A19" s="37"/>
      <c r="B19" s="7">
        <v>0.3</v>
      </c>
      <c r="C19" s="40">
        <v>1.7265699999999999</v>
      </c>
      <c r="D19" s="40">
        <v>-0.19825999999999999</v>
      </c>
      <c r="E19" s="40">
        <v>2.6329999999999999E-2</v>
      </c>
    </row>
    <row r="20" spans="1:5" x14ac:dyDescent="0.2">
      <c r="A20" s="37"/>
      <c r="B20" s="7">
        <v>0.5</v>
      </c>
      <c r="C20" s="40">
        <v>1.6341699999999999</v>
      </c>
      <c r="D20" s="40">
        <v>-9.0999999999999998E-2</v>
      </c>
      <c r="E20" s="40">
        <v>0</v>
      </c>
    </row>
    <row r="21" spans="1:5" x14ac:dyDescent="0.2">
      <c r="A21" s="37"/>
      <c r="B21" s="7"/>
      <c r="C21" s="40"/>
      <c r="D21" s="40"/>
      <c r="E21" s="40"/>
    </row>
    <row r="22" spans="1:5" x14ac:dyDescent="0.2">
      <c r="A22" s="4" t="s">
        <v>124</v>
      </c>
      <c r="B22" s="7">
        <v>0.1</v>
      </c>
      <c r="C22" s="40">
        <v>2.5532300000000001</v>
      </c>
      <c r="D22" s="40">
        <v>-0.61512</v>
      </c>
      <c r="E22" s="40">
        <v>-0.16403000000000001</v>
      </c>
    </row>
    <row r="23" spans="1:5" x14ac:dyDescent="0.2">
      <c r="A23" s="37"/>
      <c r="B23" s="7">
        <v>0.3</v>
      </c>
      <c r="C23" s="40">
        <v>2.4653200000000002</v>
      </c>
      <c r="D23" s="40">
        <v>-0.62256999999999996</v>
      </c>
      <c r="E23" s="40">
        <v>-0.11656999999999999</v>
      </c>
    </row>
    <row r="24" spans="1:5" x14ac:dyDescent="0.2">
      <c r="A24" s="37"/>
      <c r="B24" s="7">
        <v>0.35</v>
      </c>
      <c r="C24" s="40">
        <v>2.4189600000000002</v>
      </c>
      <c r="D24" s="40">
        <v>-0.61594000000000004</v>
      </c>
      <c r="E24" s="40">
        <v>-8.8200000000000001E-2</v>
      </c>
    </row>
    <row r="25" spans="1:5" x14ac:dyDescent="0.2">
      <c r="A25" s="37"/>
      <c r="B25" s="7">
        <v>0.4</v>
      </c>
      <c r="C25" s="40">
        <v>2.36409</v>
      </c>
      <c r="D25" s="40">
        <v>-0.59857000000000005</v>
      </c>
      <c r="E25" s="40">
        <v>-5.6210000000000003E-2</v>
      </c>
    </row>
    <row r="26" spans="1:5" x14ac:dyDescent="0.2">
      <c r="A26" s="37"/>
      <c r="B26" s="7">
        <v>0.45</v>
      </c>
      <c r="C26" s="40">
        <v>2.2923800000000001</v>
      </c>
      <c r="D26" s="40">
        <v>-0.57004999999999995</v>
      </c>
      <c r="E26" s="40">
        <v>-2.281E-2</v>
      </c>
    </row>
    <row r="27" spans="1:5" x14ac:dyDescent="0.2">
      <c r="A27" s="37"/>
      <c r="B27" s="7">
        <v>0.5</v>
      </c>
      <c r="C27" s="40">
        <v>2.20282</v>
      </c>
      <c r="D27" s="40">
        <v>-0.51598999999999995</v>
      </c>
      <c r="E27" s="40">
        <v>-1.259E-2</v>
      </c>
    </row>
    <row r="28" spans="1:5" x14ac:dyDescent="0.2">
      <c r="A28" s="37"/>
      <c r="B28" s="7"/>
      <c r="C28" s="40"/>
      <c r="D28" s="40"/>
      <c r="E28" s="40"/>
    </row>
    <row r="29" spans="1:5" x14ac:dyDescent="0.2">
      <c r="A29" s="4" t="s">
        <v>125</v>
      </c>
      <c r="B29" s="7">
        <v>0.1</v>
      </c>
      <c r="C29" s="40">
        <v>2.4731700000000001</v>
      </c>
      <c r="D29" s="40">
        <v>-0.51848000000000005</v>
      </c>
      <c r="E29" s="40">
        <v>-0.17083000000000001</v>
      </c>
    </row>
    <row r="30" spans="1:5" x14ac:dyDescent="0.2">
      <c r="A30" s="37"/>
      <c r="B30" s="7">
        <v>0.3</v>
      </c>
      <c r="C30" s="40">
        <v>2.39628</v>
      </c>
      <c r="D30" s="40">
        <v>-0.51202000000000003</v>
      </c>
      <c r="E30" s="40">
        <v>-0.13245000000000001</v>
      </c>
    </row>
    <row r="31" spans="1:5" x14ac:dyDescent="0.2">
      <c r="A31" s="37"/>
      <c r="B31" s="6">
        <v>0.35</v>
      </c>
      <c r="C31" s="40">
        <v>2.3547699999999998</v>
      </c>
      <c r="D31" s="40">
        <v>-0.49735000000000001</v>
      </c>
      <c r="E31" s="40">
        <v>-0.11985</v>
      </c>
    </row>
    <row r="32" spans="1:5" x14ac:dyDescent="0.2">
      <c r="A32" s="37"/>
      <c r="B32" s="7">
        <v>0.4</v>
      </c>
      <c r="C32" s="40">
        <v>2.3072599999999999</v>
      </c>
      <c r="D32" s="40">
        <v>-0.46540999999999999</v>
      </c>
      <c r="E32" s="40">
        <v>-0.11094</v>
      </c>
    </row>
    <row r="33" spans="1:5" x14ac:dyDescent="0.2">
      <c r="A33" s="37"/>
      <c r="B33" s="7">
        <v>0.45</v>
      </c>
      <c r="C33" s="40">
        <v>2.2487599999999999</v>
      </c>
      <c r="D33" s="40">
        <v>-0.41314000000000001</v>
      </c>
      <c r="E33" s="40">
        <v>-0.11508</v>
      </c>
    </row>
    <row r="34" spans="1:5" x14ac:dyDescent="0.2">
      <c r="A34" s="37"/>
      <c r="B34" s="7">
        <v>0.5</v>
      </c>
      <c r="C34" s="40">
        <v>2.1777199999999999</v>
      </c>
      <c r="D34" s="40">
        <v>-0.36803000000000002</v>
      </c>
      <c r="E34" s="40">
        <v>-9.5250000000000001E-2</v>
      </c>
    </row>
    <row r="35" spans="1:5" x14ac:dyDescent="0.2">
      <c r="B35" s="41"/>
    </row>
    <row r="36" spans="1:5" x14ac:dyDescent="0.2">
      <c r="B36" s="41"/>
    </row>
    <row r="37" spans="1:5" x14ac:dyDescent="0.2">
      <c r="B37" s="41"/>
    </row>
    <row r="38" spans="1:5" x14ac:dyDescent="0.2">
      <c r="B38" s="41"/>
    </row>
    <row r="39" spans="1:5" x14ac:dyDescent="0.2">
      <c r="B39" s="41"/>
    </row>
    <row r="40" spans="1:5" x14ac:dyDescent="0.2">
      <c r="B40" s="41"/>
    </row>
    <row r="41" spans="1:5" x14ac:dyDescent="0.2">
      <c r="B41" s="41"/>
    </row>
    <row r="42" spans="1:5" x14ac:dyDescent="0.2">
      <c r="B42" s="41"/>
    </row>
    <row r="43" spans="1:5" x14ac:dyDescent="0.2">
      <c r="B43" s="41"/>
    </row>
    <row r="44" spans="1:5" x14ac:dyDescent="0.2">
      <c r="B44" s="41"/>
    </row>
  </sheetData>
  <sheetProtection password="D1ED" sheet="1"/>
  <mergeCells count="1">
    <mergeCell ref="A4:E5"/>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4"/>
  <sheetViews>
    <sheetView workbookViewId="0">
      <selection activeCell="D12" sqref="D12"/>
    </sheetView>
  </sheetViews>
  <sheetFormatPr defaultRowHeight="12.75" x14ac:dyDescent="0.2"/>
  <cols>
    <col min="2" max="2" width="21" bestFit="1" customWidth="1"/>
  </cols>
  <sheetData>
    <row r="2" spans="2:10" ht="13.5" thickBot="1" x14ac:dyDescent="0.25">
      <c r="B2" s="204" t="s">
        <v>172</v>
      </c>
      <c r="C2" s="204"/>
      <c r="D2" s="204"/>
      <c r="E2" s="204"/>
      <c r="F2" s="204"/>
      <c r="G2" s="204"/>
      <c r="H2" s="204"/>
      <c r="I2" s="204"/>
      <c r="J2" s="204"/>
    </row>
    <row r="3" spans="2:10" ht="13.5" thickBot="1" x14ac:dyDescent="0.25">
      <c r="B3" s="129" t="s">
        <v>170</v>
      </c>
      <c r="C3" s="130">
        <v>1</v>
      </c>
      <c r="D3" s="130">
        <v>2</v>
      </c>
      <c r="E3" s="130">
        <v>5</v>
      </c>
      <c r="F3" s="130">
        <v>10</v>
      </c>
      <c r="G3" s="130">
        <v>25</v>
      </c>
      <c r="H3" s="130">
        <v>50</v>
      </c>
      <c r="I3" s="130">
        <v>100</v>
      </c>
      <c r="J3" s="131" t="s">
        <v>171</v>
      </c>
    </row>
    <row r="4" spans="2:10" x14ac:dyDescent="0.2">
      <c r="B4" s="128" t="s">
        <v>143</v>
      </c>
      <c r="C4" s="132">
        <v>3.2</v>
      </c>
      <c r="D4" s="132">
        <v>3.5</v>
      </c>
      <c r="E4" s="132">
        <v>4.4000000000000004</v>
      </c>
      <c r="F4" s="132">
        <v>5.2</v>
      </c>
      <c r="G4" s="132">
        <v>6.5</v>
      </c>
      <c r="H4" s="132">
        <v>7.7</v>
      </c>
      <c r="I4" s="132">
        <v>9.1999999999999993</v>
      </c>
      <c r="J4" s="136">
        <v>250</v>
      </c>
    </row>
    <row r="5" spans="2:10" x14ac:dyDescent="0.2">
      <c r="B5" s="126" t="s">
        <v>144</v>
      </c>
      <c r="C5" s="133">
        <v>3.2</v>
      </c>
      <c r="D5" s="133">
        <v>3.7</v>
      </c>
      <c r="E5" s="133">
        <v>4.5999999999999996</v>
      </c>
      <c r="F5" s="133">
        <v>5.3</v>
      </c>
      <c r="G5" s="133">
        <v>6.5</v>
      </c>
      <c r="H5" s="133">
        <v>7.4</v>
      </c>
      <c r="I5" s="133">
        <v>8.4</v>
      </c>
      <c r="J5" s="137">
        <v>250</v>
      </c>
    </row>
    <row r="6" spans="2:10" x14ac:dyDescent="0.2">
      <c r="B6" s="125" t="s">
        <v>174</v>
      </c>
      <c r="C6" s="134">
        <v>3.4</v>
      </c>
      <c r="D6" s="134">
        <v>3.8</v>
      </c>
      <c r="E6" s="134">
        <v>5.0999999999999996</v>
      </c>
      <c r="F6" s="134">
        <v>6</v>
      </c>
      <c r="G6" s="134">
        <v>7</v>
      </c>
      <c r="H6" s="134">
        <v>7.8</v>
      </c>
      <c r="I6" s="134">
        <v>8.9</v>
      </c>
      <c r="J6" s="138">
        <v>300</v>
      </c>
    </row>
    <row r="7" spans="2:10" x14ac:dyDescent="0.2">
      <c r="B7" s="126" t="s">
        <v>145</v>
      </c>
      <c r="C7" s="133">
        <v>3.3</v>
      </c>
      <c r="D7" s="133">
        <v>3.6</v>
      </c>
      <c r="E7" s="133">
        <v>4.5</v>
      </c>
      <c r="F7" s="133">
        <v>5.5</v>
      </c>
      <c r="G7" s="133">
        <v>6.6</v>
      </c>
      <c r="H7" s="133">
        <v>7.9</v>
      </c>
      <c r="I7" s="133">
        <v>9.4</v>
      </c>
      <c r="J7" s="137">
        <v>275</v>
      </c>
    </row>
    <row r="8" spans="2:10" x14ac:dyDescent="0.2">
      <c r="B8" s="125" t="s">
        <v>175</v>
      </c>
      <c r="C8" s="134">
        <v>3.4</v>
      </c>
      <c r="D8" s="134">
        <v>3.6</v>
      </c>
      <c r="E8" s="134">
        <v>4.5999999999999996</v>
      </c>
      <c r="F8" s="134">
        <v>5.5</v>
      </c>
      <c r="G8" s="134">
        <v>6.8</v>
      </c>
      <c r="H8" s="134">
        <v>8.1</v>
      </c>
      <c r="I8" s="134">
        <v>9.4</v>
      </c>
      <c r="J8" s="138">
        <v>300</v>
      </c>
    </row>
    <row r="9" spans="2:10" x14ac:dyDescent="0.2">
      <c r="B9" s="126" t="s">
        <v>176</v>
      </c>
      <c r="C9" s="133">
        <v>3.3</v>
      </c>
      <c r="D9" s="133">
        <v>3.6</v>
      </c>
      <c r="E9" s="133">
        <v>4.5</v>
      </c>
      <c r="F9" s="133">
        <v>5.3</v>
      </c>
      <c r="G9" s="133">
        <v>6.4</v>
      </c>
      <c r="H9" s="133">
        <v>7.3</v>
      </c>
      <c r="I9" s="133">
        <v>8.4</v>
      </c>
      <c r="J9" s="137">
        <v>275</v>
      </c>
    </row>
    <row r="10" spans="2:10" x14ac:dyDescent="0.2">
      <c r="B10" s="125" t="s">
        <v>177</v>
      </c>
      <c r="C10" s="134">
        <v>3.7</v>
      </c>
      <c r="D10" s="134">
        <v>4.5</v>
      </c>
      <c r="E10" s="134">
        <v>5.8</v>
      </c>
      <c r="F10" s="134">
        <v>6.9</v>
      </c>
      <c r="G10" s="134">
        <v>8.4</v>
      </c>
      <c r="H10" s="134">
        <v>9.6999999999999993</v>
      </c>
      <c r="I10" s="134">
        <v>11</v>
      </c>
      <c r="J10" s="138">
        <v>400</v>
      </c>
    </row>
    <row r="11" spans="2:10" x14ac:dyDescent="0.2">
      <c r="B11" s="126" t="s">
        <v>178</v>
      </c>
      <c r="C11" s="133">
        <v>3.5</v>
      </c>
      <c r="D11" s="133">
        <v>3.8</v>
      </c>
      <c r="E11" s="133">
        <v>5</v>
      </c>
      <c r="F11" s="133">
        <v>5.9</v>
      </c>
      <c r="G11" s="133">
        <v>7.2</v>
      </c>
      <c r="H11" s="133">
        <v>8.1999999999999993</v>
      </c>
      <c r="I11" s="133">
        <v>9.4</v>
      </c>
      <c r="J11" s="137">
        <v>350</v>
      </c>
    </row>
    <row r="12" spans="2:10" x14ac:dyDescent="0.2">
      <c r="B12" s="125" t="s">
        <v>179</v>
      </c>
      <c r="C12" s="134">
        <v>3.6</v>
      </c>
      <c r="D12" s="134">
        <v>4</v>
      </c>
      <c r="E12" s="134">
        <v>5.2</v>
      </c>
      <c r="F12" s="134">
        <v>6.2</v>
      </c>
      <c r="G12" s="134">
        <v>7.5</v>
      </c>
      <c r="H12" s="134">
        <v>8.6</v>
      </c>
      <c r="I12" s="134">
        <v>9.8000000000000007</v>
      </c>
      <c r="J12" s="138">
        <v>350</v>
      </c>
    </row>
    <row r="13" spans="2:10" x14ac:dyDescent="0.2">
      <c r="B13" s="126" t="s">
        <v>180</v>
      </c>
      <c r="C13" s="133">
        <v>3.3</v>
      </c>
      <c r="D13" s="133">
        <v>3.5</v>
      </c>
      <c r="E13" s="133">
        <v>4.5</v>
      </c>
      <c r="F13" s="133">
        <v>5.4</v>
      </c>
      <c r="G13" s="133">
        <v>6.7</v>
      </c>
      <c r="H13" s="133">
        <v>7.9</v>
      </c>
      <c r="I13" s="133">
        <v>9.3000000000000007</v>
      </c>
      <c r="J13" s="137">
        <v>275</v>
      </c>
    </row>
    <row r="14" spans="2:10" x14ac:dyDescent="0.2">
      <c r="B14" s="125" t="s">
        <v>148</v>
      </c>
      <c r="C14" s="134">
        <v>3.8</v>
      </c>
      <c r="D14" s="134">
        <v>4.3</v>
      </c>
      <c r="E14" s="134">
        <v>5.5</v>
      </c>
      <c r="F14" s="134">
        <v>6.6</v>
      </c>
      <c r="G14" s="134">
        <v>8</v>
      </c>
      <c r="H14" s="134">
        <v>9.1999999999999993</v>
      </c>
      <c r="I14" s="134">
        <v>10.4</v>
      </c>
      <c r="J14" s="138">
        <v>400</v>
      </c>
    </row>
    <row r="15" spans="2:10" x14ac:dyDescent="0.2">
      <c r="B15" s="126" t="s">
        <v>181</v>
      </c>
      <c r="C15" s="133">
        <v>3</v>
      </c>
      <c r="D15" s="133">
        <v>3.7</v>
      </c>
      <c r="E15" s="133">
        <v>4.7</v>
      </c>
      <c r="F15" s="133">
        <v>5.4</v>
      </c>
      <c r="G15" s="133">
        <v>6.4</v>
      </c>
      <c r="H15" s="133">
        <v>7.3</v>
      </c>
      <c r="I15" s="133">
        <v>8.1</v>
      </c>
      <c r="J15" s="137">
        <v>275</v>
      </c>
    </row>
    <row r="16" spans="2:10" x14ac:dyDescent="0.2">
      <c r="B16" s="125" t="s">
        <v>182</v>
      </c>
      <c r="C16" s="134">
        <v>2.9</v>
      </c>
      <c r="D16" s="134">
        <v>3.6</v>
      </c>
      <c r="E16" s="134">
        <v>4.5999999999999996</v>
      </c>
      <c r="F16" s="134">
        <v>5.3</v>
      </c>
      <c r="G16" s="134">
        <v>6.3</v>
      </c>
      <c r="H16" s="134">
        <v>7.1</v>
      </c>
      <c r="I16" s="134">
        <v>8</v>
      </c>
      <c r="J16" s="138">
        <v>250</v>
      </c>
    </row>
    <row r="17" spans="2:10" x14ac:dyDescent="0.2">
      <c r="B17" s="126" t="s">
        <v>150</v>
      </c>
      <c r="C17" s="133">
        <v>3.1</v>
      </c>
      <c r="D17" s="133">
        <v>3.5</v>
      </c>
      <c r="E17" s="133">
        <v>4.5</v>
      </c>
      <c r="F17" s="133">
        <v>5.3</v>
      </c>
      <c r="G17" s="133">
        <v>6.6</v>
      </c>
      <c r="H17" s="133">
        <v>7.7</v>
      </c>
      <c r="I17" s="133">
        <v>9</v>
      </c>
      <c r="J17" s="137">
        <v>275</v>
      </c>
    </row>
    <row r="18" spans="2:10" x14ac:dyDescent="0.2">
      <c r="B18" s="125" t="s">
        <v>183</v>
      </c>
      <c r="C18" s="134">
        <v>3.4</v>
      </c>
      <c r="D18" s="134">
        <v>3.7</v>
      </c>
      <c r="E18" s="134">
        <v>4.7</v>
      </c>
      <c r="F18" s="134">
        <v>5.6</v>
      </c>
      <c r="G18" s="134">
        <v>7</v>
      </c>
      <c r="H18" s="134">
        <v>8.1999999999999993</v>
      </c>
      <c r="I18" s="134">
        <v>9.5</v>
      </c>
      <c r="J18" s="138">
        <v>300</v>
      </c>
    </row>
    <row r="19" spans="2:10" x14ac:dyDescent="0.2">
      <c r="B19" s="126" t="s">
        <v>184</v>
      </c>
      <c r="C19" s="133">
        <v>3.5</v>
      </c>
      <c r="D19" s="133">
        <v>3.5</v>
      </c>
      <c r="E19" s="133">
        <v>4.5</v>
      </c>
      <c r="F19" s="133">
        <v>5.4</v>
      </c>
      <c r="G19" s="133">
        <v>6.7</v>
      </c>
      <c r="H19" s="133">
        <v>7.9</v>
      </c>
      <c r="I19" s="133">
        <v>9.1999999999999993</v>
      </c>
      <c r="J19" s="137">
        <v>350</v>
      </c>
    </row>
    <row r="20" spans="2:10" x14ac:dyDescent="0.2">
      <c r="B20" s="125" t="s">
        <v>185</v>
      </c>
      <c r="C20" s="134">
        <v>3.6</v>
      </c>
      <c r="D20" s="134">
        <v>4</v>
      </c>
      <c r="E20" s="134">
        <v>5.2</v>
      </c>
      <c r="F20" s="134">
        <v>6.1</v>
      </c>
      <c r="G20" s="134">
        <v>7.5</v>
      </c>
      <c r="H20" s="134">
        <v>8.6</v>
      </c>
      <c r="I20" s="134">
        <v>9.6999999999999993</v>
      </c>
      <c r="J20" s="138">
        <v>350</v>
      </c>
    </row>
    <row r="21" spans="2:10" x14ac:dyDescent="0.2">
      <c r="B21" s="126" t="s">
        <v>186</v>
      </c>
      <c r="C21" s="133">
        <v>3.2</v>
      </c>
      <c r="D21" s="133">
        <v>3.5</v>
      </c>
      <c r="E21" s="133">
        <v>4.5</v>
      </c>
      <c r="F21" s="133">
        <v>5.4</v>
      </c>
      <c r="G21" s="133">
        <v>6.7</v>
      </c>
      <c r="H21" s="133">
        <v>8</v>
      </c>
      <c r="I21" s="133">
        <v>9.3000000000000007</v>
      </c>
      <c r="J21" s="137">
        <v>300</v>
      </c>
    </row>
    <row r="22" spans="2:10" x14ac:dyDescent="0.2">
      <c r="B22" s="125" t="s">
        <v>222</v>
      </c>
      <c r="C22" s="134">
        <v>3.3</v>
      </c>
      <c r="D22" s="134">
        <v>3.6</v>
      </c>
      <c r="E22" s="134">
        <v>4.7</v>
      </c>
      <c r="F22" s="134">
        <v>5.5</v>
      </c>
      <c r="G22" s="134">
        <v>6.8</v>
      </c>
      <c r="H22" s="134">
        <v>8.8000000000000007</v>
      </c>
      <c r="I22" s="134">
        <v>10</v>
      </c>
      <c r="J22" s="138">
        <v>325</v>
      </c>
    </row>
    <row r="23" spans="2:10" x14ac:dyDescent="0.2">
      <c r="B23" s="126" t="s">
        <v>221</v>
      </c>
      <c r="C23" s="133">
        <v>3.4</v>
      </c>
      <c r="D23" s="133">
        <v>3.8</v>
      </c>
      <c r="E23" s="133">
        <v>4.9000000000000004</v>
      </c>
      <c r="F23" s="133">
        <v>5.8</v>
      </c>
      <c r="G23" s="133">
        <v>7.1</v>
      </c>
      <c r="H23" s="133">
        <v>8.1</v>
      </c>
      <c r="I23" s="133">
        <v>9.3000000000000007</v>
      </c>
      <c r="J23" s="137">
        <v>325</v>
      </c>
    </row>
    <row r="24" spans="2:10" x14ac:dyDescent="0.2">
      <c r="B24" s="125" t="s">
        <v>220</v>
      </c>
      <c r="C24" s="134">
        <v>3.6</v>
      </c>
      <c r="D24" s="134">
        <v>4.2</v>
      </c>
      <c r="E24" s="134">
        <v>5.4</v>
      </c>
      <c r="F24" s="134">
        <v>6.4</v>
      </c>
      <c r="G24" s="134">
        <v>7.8</v>
      </c>
      <c r="H24" s="134">
        <v>8.9</v>
      </c>
      <c r="I24" s="134">
        <v>10.1</v>
      </c>
      <c r="J24" s="138">
        <v>325</v>
      </c>
    </row>
    <row r="25" spans="2:10" x14ac:dyDescent="0.2">
      <c r="B25" s="126" t="s">
        <v>219</v>
      </c>
      <c r="C25" s="133">
        <v>3.2</v>
      </c>
      <c r="D25" s="133">
        <v>3.1</v>
      </c>
      <c r="E25" s="133">
        <v>4.5</v>
      </c>
      <c r="F25" s="133">
        <v>5.2</v>
      </c>
      <c r="G25" s="133">
        <v>6.3</v>
      </c>
      <c r="H25" s="133">
        <v>7.2</v>
      </c>
      <c r="I25" s="133">
        <v>8.1999999999999993</v>
      </c>
      <c r="J25" s="137">
        <v>250</v>
      </c>
    </row>
    <row r="26" spans="2:10" x14ac:dyDescent="0.2">
      <c r="B26" s="125" t="s">
        <v>218</v>
      </c>
      <c r="C26" s="134">
        <v>3</v>
      </c>
      <c r="D26" s="134">
        <v>3.5</v>
      </c>
      <c r="E26" s="134">
        <v>4.4000000000000004</v>
      </c>
      <c r="F26" s="134">
        <v>5.0999999999999996</v>
      </c>
      <c r="G26" s="134">
        <v>6.2</v>
      </c>
      <c r="H26" s="134">
        <v>7.1</v>
      </c>
      <c r="I26" s="134">
        <v>8</v>
      </c>
      <c r="J26" s="138">
        <v>250</v>
      </c>
    </row>
    <row r="27" spans="2:10" x14ac:dyDescent="0.2">
      <c r="B27" s="126" t="s">
        <v>217</v>
      </c>
      <c r="C27" s="133">
        <v>3.3</v>
      </c>
      <c r="D27" s="133">
        <v>3.5</v>
      </c>
      <c r="E27" s="133">
        <v>4.5</v>
      </c>
      <c r="F27" s="133">
        <v>5.4</v>
      </c>
      <c r="G27" s="133">
        <v>6.7</v>
      </c>
      <c r="H27" s="133">
        <v>7.9</v>
      </c>
      <c r="I27" s="133">
        <v>9.1999999999999993</v>
      </c>
      <c r="J27" s="137">
        <v>325</v>
      </c>
    </row>
    <row r="28" spans="2:10" x14ac:dyDescent="0.2">
      <c r="B28" s="125" t="s">
        <v>216</v>
      </c>
      <c r="C28" s="134">
        <v>3.3</v>
      </c>
      <c r="D28" s="134">
        <v>3.7</v>
      </c>
      <c r="E28" s="134">
        <v>4.7</v>
      </c>
      <c r="F28" s="134">
        <v>5.6</v>
      </c>
      <c r="G28" s="134">
        <v>7</v>
      </c>
      <c r="H28" s="134">
        <v>8.1999999999999993</v>
      </c>
      <c r="I28" s="134">
        <v>9.6</v>
      </c>
      <c r="J28" s="138">
        <v>325</v>
      </c>
    </row>
    <row r="29" spans="2:10" x14ac:dyDescent="0.2">
      <c r="B29" s="126" t="s">
        <v>215</v>
      </c>
      <c r="C29" s="133">
        <v>3.6</v>
      </c>
      <c r="D29" s="133">
        <v>4.5999999999999996</v>
      </c>
      <c r="E29" s="133">
        <v>5.9</v>
      </c>
      <c r="F29" s="133">
        <v>7</v>
      </c>
      <c r="G29" s="133">
        <v>8.5</v>
      </c>
      <c r="H29" s="133">
        <v>9.8000000000000007</v>
      </c>
      <c r="I29" s="133">
        <v>11.1</v>
      </c>
      <c r="J29" s="137">
        <v>350</v>
      </c>
    </row>
    <row r="30" spans="2:10" x14ac:dyDescent="0.2">
      <c r="B30" s="125" t="s">
        <v>214</v>
      </c>
      <c r="C30" s="134">
        <v>3.6</v>
      </c>
      <c r="D30" s="134">
        <v>3.9</v>
      </c>
      <c r="E30" s="134">
        <v>5.0999999999999996</v>
      </c>
      <c r="F30" s="134">
        <v>6</v>
      </c>
      <c r="G30" s="134">
        <v>7.4</v>
      </c>
      <c r="H30" s="134">
        <v>8.4</v>
      </c>
      <c r="I30" s="134">
        <v>9.6</v>
      </c>
      <c r="J30" s="138">
        <v>350</v>
      </c>
    </row>
    <row r="31" spans="2:10" x14ac:dyDescent="0.2">
      <c r="B31" s="126" t="s">
        <v>213</v>
      </c>
      <c r="C31" s="133">
        <v>4</v>
      </c>
      <c r="D31" s="133">
        <v>4.2</v>
      </c>
      <c r="E31" s="133">
        <v>5.3</v>
      </c>
      <c r="F31" s="133">
        <v>6.1</v>
      </c>
      <c r="G31" s="133">
        <v>7.3</v>
      </c>
      <c r="H31" s="133">
        <v>8.3000000000000007</v>
      </c>
      <c r="I31" s="133">
        <v>9.3000000000000007</v>
      </c>
      <c r="J31" s="137">
        <v>300</v>
      </c>
    </row>
    <row r="32" spans="2:10" x14ac:dyDescent="0.2">
      <c r="B32" s="125" t="s">
        <v>212</v>
      </c>
      <c r="C32" s="134">
        <v>3.4</v>
      </c>
      <c r="D32" s="134">
        <v>3.7</v>
      </c>
      <c r="E32" s="134">
        <v>4.5999999999999996</v>
      </c>
      <c r="F32" s="134">
        <v>5.4</v>
      </c>
      <c r="G32" s="134">
        <v>6.7</v>
      </c>
      <c r="H32" s="134">
        <v>7.8</v>
      </c>
      <c r="I32" s="134">
        <v>9.1</v>
      </c>
      <c r="J32" s="138">
        <v>300</v>
      </c>
    </row>
    <row r="33" spans="2:10" x14ac:dyDescent="0.2">
      <c r="B33" s="126" t="s">
        <v>156</v>
      </c>
      <c r="C33" s="133">
        <v>3.1</v>
      </c>
      <c r="D33" s="133">
        <v>3.5</v>
      </c>
      <c r="E33" s="133">
        <v>4.4000000000000004</v>
      </c>
      <c r="F33" s="133">
        <v>5.0999999999999996</v>
      </c>
      <c r="G33" s="133">
        <v>6.4</v>
      </c>
      <c r="H33" s="133">
        <v>7.6</v>
      </c>
      <c r="I33" s="133">
        <v>9</v>
      </c>
      <c r="J33" s="137">
        <v>250</v>
      </c>
    </row>
    <row r="34" spans="2:10" x14ac:dyDescent="0.2">
      <c r="B34" s="125" t="s">
        <v>211</v>
      </c>
      <c r="C34" s="134">
        <v>3.4</v>
      </c>
      <c r="D34" s="134">
        <v>3.8</v>
      </c>
      <c r="E34" s="134">
        <v>4.9000000000000004</v>
      </c>
      <c r="F34" s="134">
        <v>5.8</v>
      </c>
      <c r="G34" s="134">
        <v>7.1</v>
      </c>
      <c r="H34" s="134">
        <v>8.1999999999999993</v>
      </c>
      <c r="I34" s="134">
        <v>9.3000000000000007</v>
      </c>
      <c r="J34" s="138">
        <v>325</v>
      </c>
    </row>
    <row r="35" spans="2:10" x14ac:dyDescent="0.2">
      <c r="B35" s="126" t="s">
        <v>210</v>
      </c>
      <c r="C35" s="133">
        <v>3.4</v>
      </c>
      <c r="D35" s="133">
        <v>4.2</v>
      </c>
      <c r="E35" s="133">
        <v>5.4</v>
      </c>
      <c r="F35" s="133">
        <v>6.4</v>
      </c>
      <c r="G35" s="133">
        <v>7.8</v>
      </c>
      <c r="H35" s="133">
        <v>9</v>
      </c>
      <c r="I35" s="133">
        <v>10.199999999999999</v>
      </c>
      <c r="J35" s="137">
        <v>325</v>
      </c>
    </row>
    <row r="36" spans="2:10" x14ac:dyDescent="0.2">
      <c r="B36" s="125" t="s">
        <v>209</v>
      </c>
      <c r="C36" s="134">
        <v>3.4</v>
      </c>
      <c r="D36" s="134">
        <v>4.0999999999999996</v>
      </c>
      <c r="E36" s="134">
        <v>5.3</v>
      </c>
      <c r="F36" s="134">
        <v>6.3</v>
      </c>
      <c r="G36" s="134">
        <v>7.9</v>
      </c>
      <c r="H36" s="134">
        <v>9.3000000000000007</v>
      </c>
      <c r="I36" s="134">
        <v>10.8</v>
      </c>
      <c r="J36" s="138">
        <v>350</v>
      </c>
    </row>
    <row r="37" spans="2:10" x14ac:dyDescent="0.2">
      <c r="B37" s="126" t="s">
        <v>208</v>
      </c>
      <c r="C37" s="133">
        <v>3.6</v>
      </c>
      <c r="D37" s="133">
        <v>4.2</v>
      </c>
      <c r="E37" s="133">
        <v>5.4</v>
      </c>
      <c r="F37" s="133">
        <v>6.4</v>
      </c>
      <c r="G37" s="133">
        <v>7.8</v>
      </c>
      <c r="H37" s="133">
        <v>9</v>
      </c>
      <c r="I37" s="133">
        <v>10.199999999999999</v>
      </c>
      <c r="J37" s="137">
        <v>350</v>
      </c>
    </row>
    <row r="38" spans="2:10" x14ac:dyDescent="0.2">
      <c r="B38" s="125" t="s">
        <v>207</v>
      </c>
      <c r="C38" s="134">
        <v>3.5</v>
      </c>
      <c r="D38" s="134">
        <v>4.2</v>
      </c>
      <c r="E38" s="134">
        <v>5.4</v>
      </c>
      <c r="F38" s="134">
        <v>6.4</v>
      </c>
      <c r="G38" s="134">
        <v>7.8</v>
      </c>
      <c r="H38" s="134">
        <v>9</v>
      </c>
      <c r="I38" s="134">
        <v>10.199999999999999</v>
      </c>
      <c r="J38" s="138">
        <v>350</v>
      </c>
    </row>
    <row r="39" spans="2:10" x14ac:dyDescent="0.2">
      <c r="B39" s="126" t="s">
        <v>206</v>
      </c>
      <c r="C39" s="133">
        <v>3.1</v>
      </c>
      <c r="D39" s="133">
        <v>3.5</v>
      </c>
      <c r="E39" s="133">
        <v>4.4000000000000004</v>
      </c>
      <c r="F39" s="133">
        <v>5.0999999999999996</v>
      </c>
      <c r="G39" s="133">
        <v>6.2</v>
      </c>
      <c r="H39" s="133">
        <v>7.1</v>
      </c>
      <c r="I39" s="133">
        <v>8.1</v>
      </c>
      <c r="J39" s="137">
        <v>275</v>
      </c>
    </row>
    <row r="40" spans="2:10" x14ac:dyDescent="0.2">
      <c r="B40" s="125" t="s">
        <v>205</v>
      </c>
      <c r="C40" s="134">
        <v>3</v>
      </c>
      <c r="D40" s="134">
        <v>3.5</v>
      </c>
      <c r="E40" s="134">
        <v>4.4000000000000004</v>
      </c>
      <c r="F40" s="134">
        <v>5.2</v>
      </c>
      <c r="G40" s="134">
        <v>6.2</v>
      </c>
      <c r="H40" s="134">
        <v>7</v>
      </c>
      <c r="I40" s="134">
        <v>7.9</v>
      </c>
      <c r="J40" s="138">
        <v>250</v>
      </c>
    </row>
    <row r="41" spans="2:10" x14ac:dyDescent="0.2">
      <c r="B41" s="126" t="s">
        <v>158</v>
      </c>
      <c r="C41" s="133">
        <v>3.1</v>
      </c>
      <c r="D41" s="133">
        <v>3.6</v>
      </c>
      <c r="E41" s="133">
        <v>4.4000000000000004</v>
      </c>
      <c r="F41" s="133">
        <v>5.2</v>
      </c>
      <c r="G41" s="133">
        <v>6.5</v>
      </c>
      <c r="H41" s="133">
        <v>7.7</v>
      </c>
      <c r="I41" s="133">
        <v>9.1999999999999993</v>
      </c>
      <c r="J41" s="137">
        <v>250</v>
      </c>
    </row>
    <row r="42" spans="2:10" x14ac:dyDescent="0.2">
      <c r="B42" s="125" t="s">
        <v>204</v>
      </c>
      <c r="C42" s="134">
        <v>3.2</v>
      </c>
      <c r="D42" s="134">
        <v>3.5</v>
      </c>
      <c r="E42" s="134">
        <v>4.5</v>
      </c>
      <c r="F42" s="134">
        <v>5.4</v>
      </c>
      <c r="G42" s="134">
        <v>6.7</v>
      </c>
      <c r="H42" s="134">
        <v>7.9</v>
      </c>
      <c r="I42" s="134">
        <v>9.3000000000000007</v>
      </c>
      <c r="J42" s="138">
        <v>275</v>
      </c>
    </row>
    <row r="43" spans="2:10" x14ac:dyDescent="0.2">
      <c r="B43" s="126" t="s">
        <v>159</v>
      </c>
      <c r="C43" s="133">
        <v>3.1</v>
      </c>
      <c r="D43" s="133">
        <v>3.6</v>
      </c>
      <c r="E43" s="133">
        <v>4.5</v>
      </c>
      <c r="F43" s="133">
        <v>5.3</v>
      </c>
      <c r="G43" s="133">
        <v>6.4</v>
      </c>
      <c r="H43" s="133">
        <v>7.3</v>
      </c>
      <c r="I43" s="133">
        <v>8.3000000000000007</v>
      </c>
      <c r="J43" s="137">
        <v>250</v>
      </c>
    </row>
    <row r="44" spans="2:10" x14ac:dyDescent="0.2">
      <c r="B44" s="125" t="s">
        <v>203</v>
      </c>
      <c r="C44" s="134">
        <v>3.3</v>
      </c>
      <c r="D44" s="134">
        <v>3.7</v>
      </c>
      <c r="E44" s="134">
        <v>4.8</v>
      </c>
      <c r="F44" s="134">
        <v>5.7</v>
      </c>
      <c r="G44" s="134">
        <v>6.9</v>
      </c>
      <c r="H44" s="134">
        <v>8</v>
      </c>
      <c r="I44" s="134">
        <v>9.1</v>
      </c>
      <c r="J44" s="138">
        <v>325</v>
      </c>
    </row>
    <row r="45" spans="2:10" x14ac:dyDescent="0.2">
      <c r="B45" s="126" t="s">
        <v>202</v>
      </c>
      <c r="C45" s="133">
        <v>3.4</v>
      </c>
      <c r="D45" s="133">
        <v>4.2</v>
      </c>
      <c r="E45" s="133">
        <v>5.5</v>
      </c>
      <c r="F45" s="133">
        <v>6.5</v>
      </c>
      <c r="G45" s="133">
        <v>7.9</v>
      </c>
      <c r="H45" s="133">
        <v>9.1</v>
      </c>
      <c r="I45" s="133">
        <v>10.3</v>
      </c>
      <c r="J45" s="137">
        <v>325</v>
      </c>
    </row>
    <row r="46" spans="2:10" x14ac:dyDescent="0.2">
      <c r="B46" s="125" t="s">
        <v>201</v>
      </c>
      <c r="C46" s="134">
        <v>3.2</v>
      </c>
      <c r="D46" s="134">
        <v>3.5</v>
      </c>
      <c r="E46" s="134">
        <v>4.5</v>
      </c>
      <c r="F46" s="134">
        <v>5.4</v>
      </c>
      <c r="G46" s="134">
        <v>6.5</v>
      </c>
      <c r="H46" s="134">
        <v>7.5</v>
      </c>
      <c r="I46" s="134">
        <v>8.5</v>
      </c>
      <c r="J46" s="138">
        <v>300</v>
      </c>
    </row>
    <row r="47" spans="2:10" x14ac:dyDescent="0.2">
      <c r="B47" s="126" t="s">
        <v>160</v>
      </c>
      <c r="C47" s="133">
        <v>3.2</v>
      </c>
      <c r="D47" s="133">
        <v>3.5</v>
      </c>
      <c r="E47" s="133">
        <v>4.4000000000000004</v>
      </c>
      <c r="F47" s="133">
        <v>5.2</v>
      </c>
      <c r="G47" s="133">
        <v>6.4</v>
      </c>
      <c r="H47" s="133">
        <v>7.5</v>
      </c>
      <c r="I47" s="133">
        <v>8.9</v>
      </c>
      <c r="J47" s="137">
        <v>250</v>
      </c>
    </row>
    <row r="48" spans="2:10" x14ac:dyDescent="0.2">
      <c r="B48" s="125" t="s">
        <v>162</v>
      </c>
      <c r="C48" s="134">
        <v>3</v>
      </c>
      <c r="D48" s="134">
        <v>3.6</v>
      </c>
      <c r="E48" s="134">
        <v>4.5</v>
      </c>
      <c r="F48" s="134">
        <v>5.3</v>
      </c>
      <c r="G48" s="134">
        <v>6.4</v>
      </c>
      <c r="H48" s="134">
        <v>7.3</v>
      </c>
      <c r="I48" s="134">
        <v>8.4</v>
      </c>
      <c r="J48" s="138">
        <v>250</v>
      </c>
    </row>
    <row r="49" spans="2:10" x14ac:dyDescent="0.2">
      <c r="B49" s="126" t="s">
        <v>200</v>
      </c>
      <c r="C49" s="133">
        <v>4.5</v>
      </c>
      <c r="D49" s="133">
        <v>4.7</v>
      </c>
      <c r="E49" s="133">
        <v>5.8</v>
      </c>
      <c r="F49" s="133">
        <v>6.7</v>
      </c>
      <c r="G49" s="133">
        <v>7.8</v>
      </c>
      <c r="H49" s="133">
        <v>8.8000000000000007</v>
      </c>
      <c r="I49" s="133">
        <v>9.8000000000000007</v>
      </c>
      <c r="J49" s="137">
        <v>300</v>
      </c>
    </row>
    <row r="50" spans="2:10" x14ac:dyDescent="0.2">
      <c r="B50" s="125" t="s">
        <v>199</v>
      </c>
      <c r="C50" s="134">
        <v>3.5</v>
      </c>
      <c r="D50" s="134">
        <v>3.8</v>
      </c>
      <c r="E50" s="134">
        <v>4.7</v>
      </c>
      <c r="F50" s="134">
        <v>5.5</v>
      </c>
      <c r="G50" s="134">
        <v>6.6</v>
      </c>
      <c r="H50" s="134">
        <v>7.6</v>
      </c>
      <c r="I50" s="134">
        <v>8.6</v>
      </c>
      <c r="J50" s="138">
        <v>300</v>
      </c>
    </row>
    <row r="51" spans="2:10" x14ac:dyDescent="0.2">
      <c r="B51" s="126" t="s">
        <v>198</v>
      </c>
      <c r="C51" s="133">
        <v>3.3</v>
      </c>
      <c r="D51" s="133">
        <v>3.8</v>
      </c>
      <c r="E51" s="133">
        <v>4.9000000000000004</v>
      </c>
      <c r="F51" s="133">
        <v>5.8</v>
      </c>
      <c r="G51" s="133">
        <v>7.1</v>
      </c>
      <c r="H51" s="133">
        <v>8.1</v>
      </c>
      <c r="I51" s="133">
        <v>9.3000000000000007</v>
      </c>
      <c r="J51" s="137">
        <v>275</v>
      </c>
    </row>
    <row r="52" spans="2:10" x14ac:dyDescent="0.2">
      <c r="B52" s="125" t="s">
        <v>197</v>
      </c>
      <c r="C52" s="134">
        <v>3.3</v>
      </c>
      <c r="D52" s="134">
        <v>3.6</v>
      </c>
      <c r="E52" s="134">
        <v>4.5</v>
      </c>
      <c r="F52" s="134">
        <v>5.4</v>
      </c>
      <c r="G52" s="134">
        <v>6.8</v>
      </c>
      <c r="H52" s="134">
        <v>8</v>
      </c>
      <c r="I52" s="134">
        <v>9.3000000000000007</v>
      </c>
      <c r="J52" s="138">
        <v>275</v>
      </c>
    </row>
    <row r="53" spans="2:10" x14ac:dyDescent="0.2">
      <c r="B53" s="126" t="s">
        <v>196</v>
      </c>
      <c r="C53" s="133">
        <v>4.2</v>
      </c>
      <c r="D53" s="133">
        <v>5.0999999999999996</v>
      </c>
      <c r="E53" s="133">
        <v>6.2</v>
      </c>
      <c r="F53" s="133">
        <v>7.2</v>
      </c>
      <c r="G53" s="133">
        <v>8.5</v>
      </c>
      <c r="H53" s="133">
        <v>9.5</v>
      </c>
      <c r="I53" s="133">
        <v>10.6</v>
      </c>
      <c r="J53" s="137">
        <v>300</v>
      </c>
    </row>
    <row r="54" spans="2:10" x14ac:dyDescent="0.2">
      <c r="B54" s="125" t="s">
        <v>195</v>
      </c>
      <c r="C54" s="134">
        <v>3.7</v>
      </c>
      <c r="D54" s="134">
        <v>4.0999999999999996</v>
      </c>
      <c r="E54" s="134">
        <v>5</v>
      </c>
      <c r="F54" s="134">
        <v>5.8</v>
      </c>
      <c r="G54" s="134">
        <v>6.9</v>
      </c>
      <c r="H54" s="134">
        <v>7.8</v>
      </c>
      <c r="I54" s="134">
        <v>8.8000000000000007</v>
      </c>
      <c r="J54" s="138">
        <v>300</v>
      </c>
    </row>
    <row r="55" spans="2:10" x14ac:dyDescent="0.2">
      <c r="B55" s="126" t="s">
        <v>194</v>
      </c>
      <c r="C55" s="133">
        <v>3.1</v>
      </c>
      <c r="D55" s="133">
        <v>3.6</v>
      </c>
      <c r="E55" s="133">
        <v>4.5</v>
      </c>
      <c r="F55" s="133">
        <v>5.3</v>
      </c>
      <c r="G55" s="133">
        <v>6.4</v>
      </c>
      <c r="H55" s="133">
        <v>7.3</v>
      </c>
      <c r="I55" s="133">
        <v>8.3000000000000007</v>
      </c>
      <c r="J55" s="137">
        <v>275</v>
      </c>
    </row>
    <row r="56" spans="2:10" x14ac:dyDescent="0.2">
      <c r="B56" s="125" t="s">
        <v>193</v>
      </c>
      <c r="C56" s="134">
        <v>3.4</v>
      </c>
      <c r="D56" s="134">
        <v>3.6</v>
      </c>
      <c r="E56" s="134">
        <v>4.5</v>
      </c>
      <c r="F56" s="134">
        <v>5.2</v>
      </c>
      <c r="G56" s="134">
        <v>6.3</v>
      </c>
      <c r="H56" s="134">
        <v>7.2</v>
      </c>
      <c r="I56" s="134">
        <v>8.1999999999999993</v>
      </c>
      <c r="J56" s="138">
        <v>250</v>
      </c>
    </row>
    <row r="57" spans="2:10" x14ac:dyDescent="0.2">
      <c r="B57" s="126" t="s">
        <v>192</v>
      </c>
      <c r="C57" s="133">
        <v>3.4</v>
      </c>
      <c r="D57" s="133">
        <v>4.5</v>
      </c>
      <c r="E57" s="133">
        <v>5.5</v>
      </c>
      <c r="F57" s="133">
        <v>6.3</v>
      </c>
      <c r="G57" s="133">
        <v>7.5</v>
      </c>
      <c r="H57" s="133">
        <v>8.5</v>
      </c>
      <c r="I57" s="133">
        <v>9.5</v>
      </c>
      <c r="J57" s="137">
        <v>300</v>
      </c>
    </row>
    <row r="58" spans="2:10" x14ac:dyDescent="0.2">
      <c r="B58" s="125" t="s">
        <v>191</v>
      </c>
      <c r="C58" s="134">
        <v>3.1</v>
      </c>
      <c r="D58" s="134">
        <v>3.8</v>
      </c>
      <c r="E58" s="134">
        <v>4.8</v>
      </c>
      <c r="F58" s="134">
        <v>5.5</v>
      </c>
      <c r="G58" s="134">
        <v>6.6</v>
      </c>
      <c r="H58" s="134">
        <v>7.4</v>
      </c>
      <c r="I58" s="134">
        <v>8.3000000000000007</v>
      </c>
      <c r="J58" s="138">
        <v>275</v>
      </c>
    </row>
    <row r="59" spans="2:10" x14ac:dyDescent="0.2">
      <c r="B59" s="126" t="s">
        <v>190</v>
      </c>
      <c r="C59" s="133">
        <v>3.1</v>
      </c>
      <c r="D59" s="133">
        <v>3.6</v>
      </c>
      <c r="E59" s="133">
        <v>4.5</v>
      </c>
      <c r="F59" s="133">
        <v>5.5</v>
      </c>
      <c r="G59" s="133">
        <v>6.4</v>
      </c>
      <c r="H59" s="133">
        <v>7.8</v>
      </c>
      <c r="I59" s="133">
        <v>9.3000000000000007</v>
      </c>
      <c r="J59" s="137">
        <v>275</v>
      </c>
    </row>
    <row r="60" spans="2:10" x14ac:dyDescent="0.2">
      <c r="B60" s="125" t="s">
        <v>189</v>
      </c>
      <c r="C60" s="134">
        <v>3.1</v>
      </c>
      <c r="D60" s="134">
        <v>3.7</v>
      </c>
      <c r="E60" s="134">
        <v>4.5999999999999996</v>
      </c>
      <c r="F60" s="134">
        <v>5.4</v>
      </c>
      <c r="G60" s="134">
        <v>6.7</v>
      </c>
      <c r="H60" s="134">
        <v>7.9</v>
      </c>
      <c r="I60" s="134">
        <v>9.4</v>
      </c>
      <c r="J60" s="138">
        <v>275</v>
      </c>
    </row>
    <row r="61" spans="2:10" x14ac:dyDescent="0.2">
      <c r="B61" s="126" t="s">
        <v>167</v>
      </c>
      <c r="C61" s="133">
        <v>3.2</v>
      </c>
      <c r="D61" s="133">
        <v>3.6</v>
      </c>
      <c r="E61" s="133">
        <v>4.5999999999999996</v>
      </c>
      <c r="F61" s="133">
        <v>5.5</v>
      </c>
      <c r="G61" s="133">
        <v>6.9</v>
      </c>
      <c r="H61" s="133">
        <v>8.1</v>
      </c>
      <c r="I61" s="133">
        <v>9.5</v>
      </c>
      <c r="J61" s="137">
        <v>275</v>
      </c>
    </row>
    <row r="62" spans="2:10" x14ac:dyDescent="0.2">
      <c r="B62" s="125" t="s">
        <v>168</v>
      </c>
      <c r="C62" s="134">
        <v>3</v>
      </c>
      <c r="D62" s="134">
        <v>3.6</v>
      </c>
      <c r="E62" s="134">
        <v>4.5</v>
      </c>
      <c r="F62" s="134">
        <v>5.2</v>
      </c>
      <c r="G62" s="134">
        <v>6.5</v>
      </c>
      <c r="H62" s="134">
        <v>7.7</v>
      </c>
      <c r="I62" s="134">
        <v>9.1</v>
      </c>
      <c r="J62" s="138">
        <v>250</v>
      </c>
    </row>
    <row r="63" spans="2:10" x14ac:dyDescent="0.2">
      <c r="B63" s="126" t="s">
        <v>188</v>
      </c>
      <c r="C63" s="133">
        <v>3.4</v>
      </c>
      <c r="D63" s="133">
        <v>4.0999999999999996</v>
      </c>
      <c r="E63" s="133">
        <v>5.3</v>
      </c>
      <c r="F63" s="133">
        <v>6.2</v>
      </c>
      <c r="G63" s="133">
        <v>7.6</v>
      </c>
      <c r="H63" s="133">
        <v>8.6999999999999993</v>
      </c>
      <c r="I63" s="133">
        <v>9.9</v>
      </c>
      <c r="J63" s="137">
        <v>325</v>
      </c>
    </row>
    <row r="64" spans="2:10" ht="13.5" thickBot="1" x14ac:dyDescent="0.25">
      <c r="B64" s="127" t="s">
        <v>187</v>
      </c>
      <c r="C64" s="135">
        <v>2.8</v>
      </c>
      <c r="D64" s="135">
        <v>3.6</v>
      </c>
      <c r="E64" s="135">
        <v>4.5</v>
      </c>
      <c r="F64" s="135">
        <v>5.3</v>
      </c>
      <c r="G64" s="135">
        <v>6.3</v>
      </c>
      <c r="H64" s="135">
        <v>7.1</v>
      </c>
      <c r="I64" s="135">
        <v>7.9</v>
      </c>
      <c r="J64" s="139">
        <v>250</v>
      </c>
    </row>
  </sheetData>
  <sheetProtection password="D1ED" sheet="1"/>
  <mergeCells count="1">
    <mergeCell ref="B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93"/>
  <sheetViews>
    <sheetView workbookViewId="0">
      <selection activeCell="G13" sqref="G13"/>
    </sheetView>
  </sheetViews>
  <sheetFormatPr defaultRowHeight="12.75" x14ac:dyDescent="0.2"/>
  <cols>
    <col min="1" max="1" width="49.42578125" bestFit="1" customWidth="1"/>
    <col min="2" max="2" width="122.7109375" bestFit="1" customWidth="1"/>
  </cols>
  <sheetData>
    <row r="3" spans="1:6" x14ac:dyDescent="0.2">
      <c r="C3" s="207" t="s">
        <v>227</v>
      </c>
      <c r="D3" s="207"/>
      <c r="E3" s="207"/>
      <c r="F3" s="207"/>
    </row>
    <row r="4" spans="1:6" x14ac:dyDescent="0.2">
      <c r="C4" s="37" t="s">
        <v>223</v>
      </c>
      <c r="D4" s="37" t="s">
        <v>224</v>
      </c>
      <c r="E4" s="37" t="s">
        <v>225</v>
      </c>
      <c r="F4" s="37" t="s">
        <v>226</v>
      </c>
    </row>
    <row r="5" spans="1:6" x14ac:dyDescent="0.2">
      <c r="A5" s="145" t="s">
        <v>228</v>
      </c>
      <c r="B5" t="s">
        <v>6</v>
      </c>
    </row>
    <row r="6" spans="1:6" x14ac:dyDescent="0.2">
      <c r="A6" t="s">
        <v>229</v>
      </c>
      <c r="B6" t="s">
        <v>262</v>
      </c>
      <c r="C6" s="37">
        <v>68</v>
      </c>
      <c r="D6" s="37">
        <v>79</v>
      </c>
      <c r="E6" s="37">
        <v>86</v>
      </c>
      <c r="F6" s="37">
        <v>89</v>
      </c>
    </row>
    <row r="7" spans="1:6" x14ac:dyDescent="0.2">
      <c r="A7" t="s">
        <v>230</v>
      </c>
      <c r="B7" t="s">
        <v>232</v>
      </c>
      <c r="C7" s="37">
        <v>49</v>
      </c>
      <c r="D7" s="37">
        <v>69</v>
      </c>
      <c r="E7" s="37">
        <v>79</v>
      </c>
      <c r="F7" s="37">
        <v>84</v>
      </c>
    </row>
    <row r="8" spans="1:6" x14ac:dyDescent="0.2">
      <c r="A8" t="s">
        <v>231</v>
      </c>
      <c r="B8" t="s">
        <v>233</v>
      </c>
      <c r="C8" s="37">
        <v>39</v>
      </c>
      <c r="D8" s="37">
        <v>61</v>
      </c>
      <c r="E8" s="37">
        <v>74</v>
      </c>
      <c r="F8" s="37">
        <v>80</v>
      </c>
    </row>
    <row r="9" spans="1:6" x14ac:dyDescent="0.2">
      <c r="A9" s="145" t="s">
        <v>234</v>
      </c>
    </row>
    <row r="10" spans="1:6" x14ac:dyDescent="0.2">
      <c r="A10" t="s">
        <v>263</v>
      </c>
      <c r="B10" s="3" t="s">
        <v>363</v>
      </c>
      <c r="C10" s="37">
        <v>98</v>
      </c>
      <c r="D10" s="37">
        <v>98</v>
      </c>
      <c r="E10" s="37">
        <v>98</v>
      </c>
      <c r="F10" s="37">
        <v>98</v>
      </c>
    </row>
    <row r="11" spans="1:6" x14ac:dyDescent="0.2">
      <c r="A11" t="s">
        <v>235</v>
      </c>
      <c r="B11" s="3" t="s">
        <v>364</v>
      </c>
      <c r="C11" s="37">
        <v>83</v>
      </c>
      <c r="D11" s="37">
        <v>89</v>
      </c>
      <c r="E11" s="37">
        <v>92</v>
      </c>
      <c r="F11" s="37">
        <v>93</v>
      </c>
    </row>
    <row r="12" spans="1:6" x14ac:dyDescent="0.2">
      <c r="A12" t="s">
        <v>236</v>
      </c>
      <c r="B12" s="3" t="s">
        <v>365</v>
      </c>
      <c r="C12" s="37">
        <v>76</v>
      </c>
      <c r="D12" s="37">
        <v>85</v>
      </c>
      <c r="E12" s="37">
        <v>89</v>
      </c>
      <c r="F12" s="37">
        <v>91</v>
      </c>
    </row>
    <row r="13" spans="1:6" x14ac:dyDescent="0.2">
      <c r="A13" t="s">
        <v>237</v>
      </c>
      <c r="B13" s="3" t="s">
        <v>365</v>
      </c>
      <c r="C13" s="37">
        <v>72</v>
      </c>
      <c r="D13" s="37">
        <v>82</v>
      </c>
      <c r="E13" s="37">
        <v>87</v>
      </c>
      <c r="F13" s="37">
        <v>89</v>
      </c>
    </row>
    <row r="14" spans="1:6" x14ac:dyDescent="0.2">
      <c r="A14" s="145" t="s">
        <v>238</v>
      </c>
    </row>
    <row r="15" spans="1:6" x14ac:dyDescent="0.2">
      <c r="A15" t="s">
        <v>239</v>
      </c>
      <c r="B15" t="s">
        <v>264</v>
      </c>
      <c r="C15" s="37">
        <v>63</v>
      </c>
      <c r="D15" s="37">
        <v>77</v>
      </c>
      <c r="E15" s="37">
        <v>85</v>
      </c>
      <c r="F15" s="37">
        <v>88</v>
      </c>
    </row>
    <row r="16" spans="1:6" ht="12.75" customHeight="1" x14ac:dyDescent="0.2">
      <c r="A16" t="s">
        <v>240</v>
      </c>
      <c r="B16" s="144" t="s">
        <v>265</v>
      </c>
      <c r="C16" s="37">
        <v>96</v>
      </c>
      <c r="D16" s="37">
        <v>96</v>
      </c>
      <c r="E16" s="37">
        <v>96</v>
      </c>
      <c r="F16" s="37">
        <v>96</v>
      </c>
    </row>
    <row r="17" spans="1:6" x14ac:dyDescent="0.2">
      <c r="A17" s="145" t="s">
        <v>241</v>
      </c>
    </row>
    <row r="18" spans="1:6" x14ac:dyDescent="0.2">
      <c r="A18" t="s">
        <v>242</v>
      </c>
      <c r="B18" t="s">
        <v>243</v>
      </c>
      <c r="C18" s="37">
        <v>89</v>
      </c>
      <c r="D18" s="37">
        <v>92</v>
      </c>
      <c r="E18" s="37">
        <v>94</v>
      </c>
      <c r="F18" s="37">
        <v>95</v>
      </c>
    </row>
    <row r="19" spans="1:6" x14ac:dyDescent="0.2">
      <c r="A19" t="s">
        <v>244</v>
      </c>
      <c r="B19" t="s">
        <v>245</v>
      </c>
      <c r="C19" s="37">
        <v>81</v>
      </c>
      <c r="D19" s="37">
        <v>88</v>
      </c>
      <c r="E19" s="37">
        <v>91</v>
      </c>
      <c r="F19" s="37">
        <v>93</v>
      </c>
    </row>
    <row r="20" spans="1:6" x14ac:dyDescent="0.2">
      <c r="A20" s="145" t="s">
        <v>246</v>
      </c>
    </row>
    <row r="21" spans="1:6" x14ac:dyDescent="0.2">
      <c r="A21" t="s">
        <v>247</v>
      </c>
      <c r="B21" t="s">
        <v>248</v>
      </c>
      <c r="C21" s="37">
        <v>77</v>
      </c>
      <c r="D21" s="37">
        <v>85</v>
      </c>
      <c r="E21" s="37">
        <v>90</v>
      </c>
      <c r="F21" s="37">
        <v>92</v>
      </c>
    </row>
    <row r="22" spans="1:6" x14ac:dyDescent="0.2">
      <c r="A22" t="s">
        <v>249</v>
      </c>
      <c r="B22" t="s">
        <v>250</v>
      </c>
      <c r="C22" s="37">
        <v>61</v>
      </c>
      <c r="D22" s="37">
        <v>75</v>
      </c>
      <c r="E22" s="37">
        <v>83</v>
      </c>
      <c r="F22" s="37">
        <v>87</v>
      </c>
    </row>
    <row r="23" spans="1:6" x14ac:dyDescent="0.2">
      <c r="A23" t="s">
        <v>251</v>
      </c>
      <c r="B23" t="s">
        <v>252</v>
      </c>
      <c r="C23" s="37">
        <v>57</v>
      </c>
      <c r="D23" s="37">
        <v>72</v>
      </c>
      <c r="E23" s="37">
        <v>81</v>
      </c>
      <c r="F23" s="37">
        <v>86</v>
      </c>
    </row>
    <row r="24" spans="1:6" x14ac:dyDescent="0.2">
      <c r="A24" t="s">
        <v>253</v>
      </c>
      <c r="B24" t="s">
        <v>254</v>
      </c>
      <c r="C24" s="37">
        <v>54</v>
      </c>
      <c r="D24" s="37">
        <v>70</v>
      </c>
      <c r="E24" s="37">
        <v>80</v>
      </c>
      <c r="F24" s="37">
        <v>85</v>
      </c>
    </row>
    <row r="25" spans="1:6" x14ac:dyDescent="0.2">
      <c r="A25" t="s">
        <v>255</v>
      </c>
      <c r="B25" t="s">
        <v>256</v>
      </c>
      <c r="C25" s="37">
        <v>51</v>
      </c>
      <c r="D25" s="37">
        <v>68</v>
      </c>
      <c r="E25" s="37">
        <v>79</v>
      </c>
      <c r="F25" s="37">
        <v>84</v>
      </c>
    </row>
    <row r="26" spans="1:6" x14ac:dyDescent="0.2">
      <c r="A26" t="s">
        <v>257</v>
      </c>
      <c r="B26" t="s">
        <v>258</v>
      </c>
      <c r="C26" s="37">
        <v>46</v>
      </c>
      <c r="D26" s="37">
        <v>65</v>
      </c>
      <c r="E26" s="37">
        <v>77</v>
      </c>
      <c r="F26" s="37">
        <v>82</v>
      </c>
    </row>
    <row r="27" spans="1:6" x14ac:dyDescent="0.2">
      <c r="A27" s="145" t="s">
        <v>259</v>
      </c>
    </row>
    <row r="28" spans="1:6" x14ac:dyDescent="0.2">
      <c r="A28" t="s">
        <v>260</v>
      </c>
      <c r="B28" t="s">
        <v>261</v>
      </c>
      <c r="C28" s="37">
        <v>77</v>
      </c>
      <c r="D28" s="37">
        <v>86</v>
      </c>
      <c r="E28" s="37">
        <v>91</v>
      </c>
      <c r="F28" s="37">
        <v>94</v>
      </c>
    </row>
    <row r="29" spans="1:6" x14ac:dyDescent="0.2">
      <c r="A29" s="145" t="s">
        <v>300</v>
      </c>
    </row>
    <row r="30" spans="1:6" x14ac:dyDescent="0.2">
      <c r="A30" s="3" t="s">
        <v>311</v>
      </c>
      <c r="B30" s="3" t="s">
        <v>301</v>
      </c>
      <c r="C30" s="37">
        <v>68</v>
      </c>
      <c r="D30" s="4">
        <v>79</v>
      </c>
      <c r="E30" s="37">
        <v>86</v>
      </c>
      <c r="F30" s="37">
        <v>89</v>
      </c>
    </row>
    <row r="31" spans="1:6" x14ac:dyDescent="0.2">
      <c r="A31" s="3" t="s">
        <v>310</v>
      </c>
      <c r="B31" s="3" t="s">
        <v>302</v>
      </c>
      <c r="C31" s="37">
        <v>49</v>
      </c>
      <c r="D31" s="37">
        <v>69</v>
      </c>
      <c r="E31" s="37">
        <v>79</v>
      </c>
      <c r="F31" s="37">
        <v>84</v>
      </c>
    </row>
    <row r="32" spans="1:6" x14ac:dyDescent="0.2">
      <c r="A32" s="3" t="s">
        <v>309</v>
      </c>
      <c r="B32" s="3" t="s">
        <v>303</v>
      </c>
      <c r="C32" s="37">
        <v>39</v>
      </c>
      <c r="D32" s="37">
        <v>61</v>
      </c>
      <c r="E32" s="37">
        <v>74</v>
      </c>
      <c r="F32" s="37">
        <v>80</v>
      </c>
    </row>
    <row r="33" spans="1:9" x14ac:dyDescent="0.2">
      <c r="A33" s="3" t="s">
        <v>304</v>
      </c>
      <c r="B33" s="3" t="s">
        <v>305</v>
      </c>
      <c r="C33" s="37">
        <v>30</v>
      </c>
      <c r="D33" s="37">
        <v>58</v>
      </c>
      <c r="E33" s="37">
        <v>71</v>
      </c>
      <c r="F33" s="37">
        <v>78</v>
      </c>
    </row>
    <row r="34" spans="1:9" x14ac:dyDescent="0.2">
      <c r="A34" s="3" t="s">
        <v>306</v>
      </c>
      <c r="B34" s="3" t="s">
        <v>315</v>
      </c>
      <c r="C34" s="37">
        <v>48</v>
      </c>
      <c r="D34" s="37">
        <v>67</v>
      </c>
      <c r="E34" s="37">
        <v>77</v>
      </c>
      <c r="F34" s="37">
        <v>83</v>
      </c>
    </row>
    <row r="35" spans="1:9" x14ac:dyDescent="0.2">
      <c r="A35" s="3" t="s">
        <v>307</v>
      </c>
      <c r="B35" s="3" t="s">
        <v>316</v>
      </c>
      <c r="C35" s="37">
        <v>35</v>
      </c>
      <c r="D35" s="37">
        <v>56</v>
      </c>
      <c r="E35" s="37">
        <v>70</v>
      </c>
      <c r="F35" s="37">
        <v>77</v>
      </c>
    </row>
    <row r="36" spans="1:9" x14ac:dyDescent="0.2">
      <c r="A36" s="3" t="s">
        <v>308</v>
      </c>
      <c r="B36" s="3" t="s">
        <v>317</v>
      </c>
      <c r="C36" s="37">
        <v>30</v>
      </c>
      <c r="D36" s="37">
        <v>48</v>
      </c>
      <c r="E36" s="37">
        <v>65</v>
      </c>
      <c r="F36" s="37">
        <v>73</v>
      </c>
    </row>
    <row r="37" spans="1:9" x14ac:dyDescent="0.2">
      <c r="A37" s="3" t="s">
        <v>318</v>
      </c>
      <c r="B37" s="3" t="s">
        <v>321</v>
      </c>
      <c r="C37" s="37">
        <v>57</v>
      </c>
      <c r="D37" s="37">
        <v>73</v>
      </c>
      <c r="E37" s="37">
        <v>82</v>
      </c>
      <c r="F37" s="37">
        <v>86</v>
      </c>
    </row>
    <row r="38" spans="1:9" x14ac:dyDescent="0.2">
      <c r="A38" s="3" t="s">
        <v>319</v>
      </c>
      <c r="B38" s="3" t="s">
        <v>321</v>
      </c>
      <c r="C38" s="37">
        <v>43</v>
      </c>
      <c r="D38" s="37">
        <v>65</v>
      </c>
      <c r="E38" s="37">
        <v>76</v>
      </c>
      <c r="F38" s="37">
        <v>82</v>
      </c>
    </row>
    <row r="39" spans="1:9" x14ac:dyDescent="0.2">
      <c r="A39" s="3" t="s">
        <v>320</v>
      </c>
      <c r="B39" s="3" t="s">
        <v>321</v>
      </c>
      <c r="C39" s="37">
        <v>32</v>
      </c>
      <c r="D39" s="37">
        <v>58</v>
      </c>
      <c r="E39" s="37">
        <v>72</v>
      </c>
      <c r="F39" s="37">
        <v>79</v>
      </c>
    </row>
    <row r="40" spans="1:9" x14ac:dyDescent="0.2">
      <c r="A40" s="3" t="s">
        <v>312</v>
      </c>
      <c r="B40" s="3" t="s">
        <v>324</v>
      </c>
      <c r="C40" s="37">
        <v>45</v>
      </c>
      <c r="D40" s="37">
        <v>66</v>
      </c>
      <c r="E40" s="37">
        <v>77</v>
      </c>
      <c r="F40" s="37">
        <v>83</v>
      </c>
    </row>
    <row r="41" spans="1:9" x14ac:dyDescent="0.2">
      <c r="A41" s="3" t="s">
        <v>313</v>
      </c>
      <c r="B41" s="3" t="s">
        <v>322</v>
      </c>
      <c r="C41" s="37">
        <v>36</v>
      </c>
      <c r="D41" s="37">
        <v>60</v>
      </c>
      <c r="E41" s="37">
        <v>73</v>
      </c>
      <c r="F41" s="37">
        <v>79</v>
      </c>
    </row>
    <row r="42" spans="1:9" x14ac:dyDescent="0.2">
      <c r="A42" s="3" t="s">
        <v>314</v>
      </c>
      <c r="B42" s="3" t="s">
        <v>323</v>
      </c>
      <c r="C42" s="37">
        <v>30</v>
      </c>
      <c r="D42" s="37">
        <v>55</v>
      </c>
      <c r="E42" s="37">
        <v>70</v>
      </c>
      <c r="F42" s="37">
        <v>77</v>
      </c>
    </row>
    <row r="43" spans="1:9" x14ac:dyDescent="0.2">
      <c r="A43" s="3" t="s">
        <v>325</v>
      </c>
      <c r="B43" s="3" t="s">
        <v>326</v>
      </c>
      <c r="C43" s="37">
        <v>59</v>
      </c>
      <c r="D43" s="37">
        <v>74</v>
      </c>
      <c r="E43" s="37">
        <v>82</v>
      </c>
      <c r="F43" s="37">
        <v>86</v>
      </c>
    </row>
    <row r="44" spans="1:9" x14ac:dyDescent="0.2">
      <c r="A44" s="145" t="s">
        <v>266</v>
      </c>
    </row>
    <row r="45" spans="1:9" x14ac:dyDescent="0.2">
      <c r="A45" t="s">
        <v>267</v>
      </c>
      <c r="B45" s="3" t="s">
        <v>366</v>
      </c>
      <c r="C45" s="37">
        <v>77</v>
      </c>
      <c r="D45" s="37">
        <v>86</v>
      </c>
      <c r="E45" s="37">
        <v>91</v>
      </c>
      <c r="F45" s="37">
        <v>94</v>
      </c>
    </row>
    <row r="46" spans="1:9" x14ac:dyDescent="0.2">
      <c r="A46" s="3" t="s">
        <v>289</v>
      </c>
      <c r="B46" s="3" t="s">
        <v>332</v>
      </c>
      <c r="C46" s="37">
        <v>76</v>
      </c>
      <c r="D46" s="37">
        <v>85</v>
      </c>
      <c r="E46" s="37">
        <v>90</v>
      </c>
      <c r="F46" s="37">
        <v>93</v>
      </c>
    </row>
    <row r="47" spans="1:9" x14ac:dyDescent="0.2">
      <c r="A47" s="3" t="s">
        <v>288</v>
      </c>
      <c r="B47" s="3" t="s">
        <v>331</v>
      </c>
      <c r="C47" s="37">
        <v>74</v>
      </c>
      <c r="D47" s="37">
        <v>83</v>
      </c>
      <c r="E47" s="37">
        <v>88</v>
      </c>
      <c r="F47" s="37">
        <v>90</v>
      </c>
    </row>
    <row r="48" spans="1:9" x14ac:dyDescent="0.2">
      <c r="A48" s="3" t="s">
        <v>287</v>
      </c>
      <c r="B48" s="3" t="s">
        <v>332</v>
      </c>
      <c r="C48" s="37">
        <v>72</v>
      </c>
      <c r="D48" s="37">
        <v>81</v>
      </c>
      <c r="E48" s="37">
        <v>88</v>
      </c>
      <c r="F48" s="4">
        <v>91</v>
      </c>
      <c r="G48" s="37"/>
      <c r="H48" s="37"/>
      <c r="I48" s="37"/>
    </row>
    <row r="49" spans="1:6" x14ac:dyDescent="0.2">
      <c r="A49" s="3" t="s">
        <v>286</v>
      </c>
      <c r="B49" s="3" t="s">
        <v>331</v>
      </c>
      <c r="C49" s="37">
        <v>67</v>
      </c>
      <c r="D49" s="37">
        <v>78</v>
      </c>
      <c r="E49" s="37">
        <v>85</v>
      </c>
      <c r="F49" s="4">
        <v>89</v>
      </c>
    </row>
    <row r="50" spans="1:6" x14ac:dyDescent="0.2">
      <c r="A50" s="3" t="s">
        <v>268</v>
      </c>
      <c r="B50" s="3" t="s">
        <v>332</v>
      </c>
      <c r="C50" s="37">
        <v>71</v>
      </c>
      <c r="D50" s="37">
        <v>80</v>
      </c>
      <c r="E50" s="37">
        <v>87</v>
      </c>
      <c r="F50" s="4">
        <v>90</v>
      </c>
    </row>
    <row r="51" spans="1:6" x14ac:dyDescent="0.2">
      <c r="A51" s="3" t="s">
        <v>269</v>
      </c>
      <c r="B51" s="3" t="s">
        <v>331</v>
      </c>
      <c r="C51" s="37">
        <v>64</v>
      </c>
      <c r="D51" s="37">
        <v>75</v>
      </c>
      <c r="E51" s="37">
        <v>82</v>
      </c>
      <c r="F51" s="4">
        <v>85</v>
      </c>
    </row>
    <row r="52" spans="1:6" x14ac:dyDescent="0.2">
      <c r="A52" s="3" t="s">
        <v>290</v>
      </c>
      <c r="B52" s="3" t="s">
        <v>332</v>
      </c>
      <c r="C52" s="37">
        <v>70</v>
      </c>
      <c r="D52" s="37">
        <v>79</v>
      </c>
      <c r="E52" s="37">
        <v>84</v>
      </c>
      <c r="F52" s="4">
        <v>88</v>
      </c>
    </row>
    <row r="53" spans="1:6" x14ac:dyDescent="0.2">
      <c r="A53" s="3" t="s">
        <v>291</v>
      </c>
      <c r="B53" s="3" t="s">
        <v>331</v>
      </c>
      <c r="C53" s="37">
        <v>65</v>
      </c>
      <c r="D53" s="37">
        <v>75</v>
      </c>
      <c r="E53" s="37">
        <v>82</v>
      </c>
      <c r="F53" s="4">
        <v>86</v>
      </c>
    </row>
    <row r="54" spans="1:6" x14ac:dyDescent="0.2">
      <c r="A54" s="3" t="s">
        <v>285</v>
      </c>
      <c r="B54" s="3" t="s">
        <v>332</v>
      </c>
      <c r="C54" s="37">
        <v>69</v>
      </c>
      <c r="D54" s="37">
        <v>78</v>
      </c>
      <c r="E54" s="37">
        <v>83</v>
      </c>
      <c r="F54" s="4">
        <v>87</v>
      </c>
    </row>
    <row r="55" spans="1:6" x14ac:dyDescent="0.2">
      <c r="A55" s="3" t="s">
        <v>284</v>
      </c>
      <c r="B55" s="3" t="s">
        <v>331</v>
      </c>
      <c r="C55" s="37">
        <v>64</v>
      </c>
      <c r="D55" s="37">
        <v>74</v>
      </c>
      <c r="E55" s="37">
        <v>81</v>
      </c>
      <c r="F55" s="4">
        <v>85</v>
      </c>
    </row>
    <row r="56" spans="1:6" x14ac:dyDescent="0.2">
      <c r="A56" s="3" t="s">
        <v>283</v>
      </c>
      <c r="B56" s="3" t="s">
        <v>332</v>
      </c>
      <c r="C56" s="37">
        <v>66</v>
      </c>
      <c r="D56" s="37">
        <v>74</v>
      </c>
      <c r="E56" s="37">
        <v>80</v>
      </c>
      <c r="F56" s="4">
        <v>82</v>
      </c>
    </row>
    <row r="57" spans="1:6" x14ac:dyDescent="0.2">
      <c r="A57" s="3" t="s">
        <v>282</v>
      </c>
      <c r="B57" s="3" t="s">
        <v>331</v>
      </c>
      <c r="C57" s="37">
        <v>62</v>
      </c>
      <c r="D57" s="37">
        <v>71</v>
      </c>
      <c r="E57" s="37">
        <v>78</v>
      </c>
      <c r="F57" s="4">
        <v>81</v>
      </c>
    </row>
    <row r="58" spans="1:6" x14ac:dyDescent="0.2">
      <c r="A58" s="3" t="s">
        <v>281</v>
      </c>
      <c r="B58" s="3" t="s">
        <v>332</v>
      </c>
      <c r="C58" s="37">
        <v>65</v>
      </c>
      <c r="D58" s="37">
        <v>73</v>
      </c>
      <c r="E58" s="37">
        <v>79</v>
      </c>
      <c r="F58" s="4">
        <v>81</v>
      </c>
    </row>
    <row r="59" spans="1:6" x14ac:dyDescent="0.2">
      <c r="A59" s="3" t="s">
        <v>280</v>
      </c>
      <c r="B59" s="3" t="s">
        <v>331</v>
      </c>
      <c r="C59" s="37">
        <v>61</v>
      </c>
      <c r="D59" s="37">
        <v>70</v>
      </c>
      <c r="E59" s="37">
        <v>77</v>
      </c>
      <c r="F59" s="4">
        <v>80</v>
      </c>
    </row>
    <row r="60" spans="1:6" x14ac:dyDescent="0.2">
      <c r="A60" s="3" t="s">
        <v>279</v>
      </c>
      <c r="B60" s="3" t="s">
        <v>332</v>
      </c>
      <c r="C60" s="37">
        <v>65</v>
      </c>
      <c r="D60" s="37">
        <v>76</v>
      </c>
      <c r="E60" s="37">
        <v>84</v>
      </c>
      <c r="F60" s="4">
        <v>88</v>
      </c>
    </row>
    <row r="61" spans="1:6" x14ac:dyDescent="0.2">
      <c r="A61" s="3" t="s">
        <v>278</v>
      </c>
      <c r="B61" s="3" t="s">
        <v>331</v>
      </c>
      <c r="C61" s="37">
        <v>63</v>
      </c>
      <c r="D61" s="37">
        <v>75</v>
      </c>
      <c r="E61" s="37">
        <v>83</v>
      </c>
      <c r="F61" s="4">
        <v>87</v>
      </c>
    </row>
    <row r="62" spans="1:6" x14ac:dyDescent="0.2">
      <c r="A62" s="3" t="s">
        <v>277</v>
      </c>
      <c r="B62" s="3" t="s">
        <v>332</v>
      </c>
      <c r="C62" s="37">
        <v>64</v>
      </c>
      <c r="D62" s="37">
        <v>75</v>
      </c>
      <c r="E62" s="37">
        <v>83</v>
      </c>
      <c r="F62" s="4">
        <v>86</v>
      </c>
    </row>
    <row r="63" spans="1:6" x14ac:dyDescent="0.2">
      <c r="A63" s="3" t="s">
        <v>276</v>
      </c>
      <c r="B63" s="3" t="s">
        <v>331</v>
      </c>
      <c r="C63" s="37">
        <v>60</v>
      </c>
      <c r="D63" s="37">
        <v>72</v>
      </c>
      <c r="E63" s="37">
        <v>80</v>
      </c>
      <c r="F63" s="4">
        <v>84</v>
      </c>
    </row>
    <row r="64" spans="1:6" x14ac:dyDescent="0.2">
      <c r="A64" s="3" t="s">
        <v>275</v>
      </c>
      <c r="B64" s="3" t="s">
        <v>332</v>
      </c>
      <c r="C64" s="37">
        <v>63</v>
      </c>
      <c r="D64" s="37">
        <v>74</v>
      </c>
      <c r="E64" s="37">
        <v>82</v>
      </c>
      <c r="F64" s="4">
        <v>85</v>
      </c>
    </row>
    <row r="65" spans="1:6" x14ac:dyDescent="0.2">
      <c r="A65" s="3" t="s">
        <v>274</v>
      </c>
      <c r="B65" s="3" t="s">
        <v>331</v>
      </c>
      <c r="C65" s="37">
        <v>61</v>
      </c>
      <c r="D65" s="37">
        <v>73</v>
      </c>
      <c r="E65" s="37">
        <v>81</v>
      </c>
      <c r="F65" s="4">
        <v>84</v>
      </c>
    </row>
    <row r="66" spans="1:6" x14ac:dyDescent="0.2">
      <c r="A66" s="3" t="s">
        <v>270</v>
      </c>
      <c r="B66" s="3" t="s">
        <v>332</v>
      </c>
      <c r="C66" s="37">
        <v>62</v>
      </c>
      <c r="D66" s="37">
        <v>73</v>
      </c>
      <c r="E66" s="37">
        <v>81</v>
      </c>
      <c r="F66" s="4">
        <v>84</v>
      </c>
    </row>
    <row r="67" spans="1:6" x14ac:dyDescent="0.2">
      <c r="A67" s="3" t="s">
        <v>271</v>
      </c>
      <c r="B67" s="3" t="s">
        <v>331</v>
      </c>
      <c r="C67" s="37">
        <v>60</v>
      </c>
      <c r="D67" s="37">
        <v>72</v>
      </c>
      <c r="E67" s="37">
        <v>80</v>
      </c>
      <c r="F67" s="4">
        <v>83</v>
      </c>
    </row>
    <row r="68" spans="1:6" x14ac:dyDescent="0.2">
      <c r="A68" s="3" t="s">
        <v>272</v>
      </c>
      <c r="B68" s="3" t="s">
        <v>332</v>
      </c>
      <c r="C68" s="37">
        <v>61</v>
      </c>
      <c r="D68" s="37">
        <v>72</v>
      </c>
      <c r="E68" s="37">
        <v>79</v>
      </c>
      <c r="F68" s="4">
        <v>82</v>
      </c>
    </row>
    <row r="69" spans="1:6" x14ac:dyDescent="0.2">
      <c r="A69" s="3" t="s">
        <v>273</v>
      </c>
      <c r="B69" s="3" t="s">
        <v>331</v>
      </c>
      <c r="C69" s="37">
        <v>59</v>
      </c>
      <c r="D69" s="37">
        <v>70</v>
      </c>
      <c r="E69" s="37">
        <v>78</v>
      </c>
      <c r="F69" s="4">
        <v>81</v>
      </c>
    </row>
    <row r="70" spans="1:6" x14ac:dyDescent="0.2">
      <c r="A70" s="3" t="s">
        <v>292</v>
      </c>
      <c r="B70" s="3" t="s">
        <v>332</v>
      </c>
      <c r="C70" s="37">
        <v>60</v>
      </c>
      <c r="D70" s="37">
        <v>71</v>
      </c>
      <c r="E70" s="37">
        <v>78</v>
      </c>
      <c r="F70" s="4">
        <v>81</v>
      </c>
    </row>
    <row r="71" spans="1:6" x14ac:dyDescent="0.2">
      <c r="A71" s="3" t="s">
        <v>293</v>
      </c>
      <c r="B71" s="3" t="s">
        <v>331</v>
      </c>
      <c r="C71" s="37">
        <v>58</v>
      </c>
      <c r="D71" s="37">
        <v>69</v>
      </c>
      <c r="E71" s="37">
        <v>77</v>
      </c>
      <c r="F71" s="4">
        <v>80</v>
      </c>
    </row>
    <row r="72" spans="1:6" x14ac:dyDescent="0.2">
      <c r="A72" s="3" t="s">
        <v>294</v>
      </c>
      <c r="B72" s="3" t="s">
        <v>332</v>
      </c>
      <c r="C72" s="37">
        <v>66</v>
      </c>
      <c r="D72" s="37">
        <v>77</v>
      </c>
      <c r="E72" s="37">
        <v>85</v>
      </c>
      <c r="F72" s="4">
        <v>89</v>
      </c>
    </row>
    <row r="73" spans="1:6" x14ac:dyDescent="0.2">
      <c r="A73" s="3" t="s">
        <v>295</v>
      </c>
      <c r="B73" s="3" t="s">
        <v>331</v>
      </c>
      <c r="C73" s="37">
        <v>58</v>
      </c>
      <c r="D73" s="37">
        <v>72</v>
      </c>
      <c r="E73" s="37">
        <v>81</v>
      </c>
      <c r="F73" s="4">
        <v>85</v>
      </c>
    </row>
    <row r="74" spans="1:6" x14ac:dyDescent="0.2">
      <c r="A74" s="3" t="s">
        <v>296</v>
      </c>
      <c r="B74" s="3" t="s">
        <v>332</v>
      </c>
      <c r="C74" s="37">
        <v>64</v>
      </c>
      <c r="D74" s="37">
        <v>75</v>
      </c>
      <c r="E74" s="37">
        <v>83</v>
      </c>
      <c r="F74" s="4">
        <v>85</v>
      </c>
    </row>
    <row r="75" spans="1:6" x14ac:dyDescent="0.2">
      <c r="A75" s="3" t="s">
        <v>297</v>
      </c>
      <c r="B75" s="3" t="s">
        <v>331</v>
      </c>
      <c r="C75" s="37">
        <v>55</v>
      </c>
      <c r="D75" s="37">
        <v>69</v>
      </c>
      <c r="E75" s="37">
        <v>78</v>
      </c>
      <c r="F75" s="4">
        <v>83</v>
      </c>
    </row>
    <row r="76" spans="1:6" x14ac:dyDescent="0.2">
      <c r="A76" s="3" t="s">
        <v>298</v>
      </c>
      <c r="B76" s="3" t="s">
        <v>332</v>
      </c>
      <c r="C76" s="37">
        <v>63</v>
      </c>
      <c r="D76" s="37">
        <v>73</v>
      </c>
      <c r="E76" s="37">
        <v>80</v>
      </c>
      <c r="F76" s="4">
        <v>83</v>
      </c>
    </row>
    <row r="77" spans="1:6" x14ac:dyDescent="0.2">
      <c r="A77" s="3" t="s">
        <v>299</v>
      </c>
      <c r="B77" s="3" t="s">
        <v>331</v>
      </c>
      <c r="C77" s="37">
        <v>51</v>
      </c>
      <c r="D77" s="37">
        <v>67</v>
      </c>
      <c r="E77" s="37">
        <v>76</v>
      </c>
      <c r="F77" s="4">
        <v>80</v>
      </c>
    </row>
    <row r="78" spans="1:6" x14ac:dyDescent="0.2">
      <c r="A78" s="145" t="s">
        <v>327</v>
      </c>
    </row>
    <row r="79" spans="1:6" x14ac:dyDescent="0.2">
      <c r="A79" s="3" t="s">
        <v>328</v>
      </c>
      <c r="B79" s="3" t="s">
        <v>333</v>
      </c>
      <c r="C79" s="4" t="s">
        <v>360</v>
      </c>
      <c r="D79" s="37">
        <v>80</v>
      </c>
      <c r="E79" s="37">
        <v>87</v>
      </c>
      <c r="F79" s="37">
        <v>93</v>
      </c>
    </row>
    <row r="80" spans="1:6" x14ac:dyDescent="0.2">
      <c r="A80" s="3" t="s">
        <v>329</v>
      </c>
      <c r="B80" s="3" t="s">
        <v>334</v>
      </c>
      <c r="C80" s="4" t="s">
        <v>360</v>
      </c>
      <c r="D80" s="37">
        <v>71</v>
      </c>
      <c r="E80" s="37">
        <v>81</v>
      </c>
      <c r="F80" s="37">
        <v>89</v>
      </c>
    </row>
    <row r="81" spans="1:6" x14ac:dyDescent="0.2">
      <c r="A81" s="3" t="s">
        <v>330</v>
      </c>
      <c r="B81" s="3" t="s">
        <v>335</v>
      </c>
      <c r="C81" s="4" t="s">
        <v>360</v>
      </c>
      <c r="D81" s="37">
        <v>62</v>
      </c>
      <c r="E81" s="37">
        <v>74</v>
      </c>
      <c r="F81" s="37">
        <v>85</v>
      </c>
    </row>
    <row r="82" spans="1:6" x14ac:dyDescent="0.2">
      <c r="A82" s="3" t="s">
        <v>336</v>
      </c>
      <c r="B82" s="3" t="s">
        <v>339</v>
      </c>
      <c r="C82" s="4" t="s">
        <v>360</v>
      </c>
      <c r="D82" s="37">
        <v>66</v>
      </c>
      <c r="E82" s="37">
        <v>74</v>
      </c>
      <c r="F82" s="37">
        <v>79</v>
      </c>
    </row>
    <row r="83" spans="1:6" x14ac:dyDescent="0.2">
      <c r="A83" s="3" t="s">
        <v>337</v>
      </c>
      <c r="B83" s="3" t="s">
        <v>340</v>
      </c>
      <c r="C83" s="4" t="s">
        <v>360</v>
      </c>
      <c r="D83" s="37">
        <v>48</v>
      </c>
      <c r="E83" s="37">
        <v>57</v>
      </c>
      <c r="F83" s="37">
        <v>63</v>
      </c>
    </row>
    <row r="84" spans="1:6" x14ac:dyDescent="0.2">
      <c r="A84" s="3" t="s">
        <v>338</v>
      </c>
      <c r="B84" s="3" t="s">
        <v>341</v>
      </c>
      <c r="C84" s="4" t="s">
        <v>360</v>
      </c>
      <c r="D84" s="37">
        <v>30</v>
      </c>
      <c r="E84" s="37">
        <v>41</v>
      </c>
      <c r="F84" s="37">
        <v>48</v>
      </c>
    </row>
    <row r="85" spans="1:6" x14ac:dyDescent="0.2">
      <c r="A85" s="3" t="s">
        <v>342</v>
      </c>
      <c r="B85" s="3" t="s">
        <v>345</v>
      </c>
      <c r="C85" s="4" t="s">
        <v>360</v>
      </c>
      <c r="D85" s="37">
        <v>75</v>
      </c>
      <c r="E85" s="37">
        <v>85</v>
      </c>
      <c r="F85" s="37">
        <v>89</v>
      </c>
    </row>
    <row r="86" spans="1:6" x14ac:dyDescent="0.2">
      <c r="A86" s="3" t="s">
        <v>343</v>
      </c>
      <c r="B86" s="3" t="s">
        <v>346</v>
      </c>
      <c r="C86" s="4" t="s">
        <v>360</v>
      </c>
      <c r="D86" s="37">
        <v>58</v>
      </c>
      <c r="E86" s="37">
        <v>73</v>
      </c>
      <c r="F86" s="37">
        <v>80</v>
      </c>
    </row>
    <row r="87" spans="1:6" x14ac:dyDescent="0.2">
      <c r="A87" s="3" t="s">
        <v>344</v>
      </c>
      <c r="B87" s="3" t="s">
        <v>347</v>
      </c>
      <c r="C87" s="4" t="s">
        <v>360</v>
      </c>
      <c r="D87" s="37">
        <v>41</v>
      </c>
      <c r="E87" s="37">
        <v>61</v>
      </c>
      <c r="F87" s="37">
        <v>71</v>
      </c>
    </row>
    <row r="88" spans="1:6" x14ac:dyDescent="0.2">
      <c r="A88" s="3" t="s">
        <v>348</v>
      </c>
      <c r="B88" t="s">
        <v>351</v>
      </c>
      <c r="C88" s="4" t="s">
        <v>360</v>
      </c>
      <c r="D88" s="37">
        <v>67</v>
      </c>
      <c r="E88" s="37">
        <v>80</v>
      </c>
      <c r="F88" s="37">
        <v>85</v>
      </c>
    </row>
    <row r="89" spans="1:6" x14ac:dyDescent="0.2">
      <c r="A89" s="3" t="s">
        <v>349</v>
      </c>
      <c r="B89" s="3" t="s">
        <v>352</v>
      </c>
      <c r="C89" s="4" t="s">
        <v>360</v>
      </c>
      <c r="D89" s="37">
        <v>51</v>
      </c>
      <c r="E89" s="37">
        <v>63</v>
      </c>
      <c r="F89" s="37">
        <v>70</v>
      </c>
    </row>
    <row r="90" spans="1:6" x14ac:dyDescent="0.2">
      <c r="A90" s="3" t="s">
        <v>350</v>
      </c>
      <c r="B90" s="3" t="s">
        <v>353</v>
      </c>
      <c r="C90" s="4" t="s">
        <v>360</v>
      </c>
      <c r="D90" s="37">
        <v>35</v>
      </c>
      <c r="E90" s="37">
        <v>47</v>
      </c>
      <c r="F90" s="37">
        <v>55</v>
      </c>
    </row>
    <row r="91" spans="1:6" x14ac:dyDescent="0.2">
      <c r="A91" s="3" t="s">
        <v>354</v>
      </c>
      <c r="B91" s="3" t="s">
        <v>357</v>
      </c>
      <c r="C91" s="37">
        <v>63</v>
      </c>
      <c r="D91" s="37">
        <v>77</v>
      </c>
      <c r="E91" s="37">
        <v>85</v>
      </c>
      <c r="F91" s="37">
        <v>88</v>
      </c>
    </row>
    <row r="92" spans="1:6" x14ac:dyDescent="0.2">
      <c r="A92" s="3" t="s">
        <v>355</v>
      </c>
      <c r="B92" s="3" t="s">
        <v>358</v>
      </c>
      <c r="C92" s="37">
        <v>55</v>
      </c>
      <c r="D92" s="37">
        <v>72</v>
      </c>
      <c r="E92" s="37">
        <v>81</v>
      </c>
      <c r="F92" s="37">
        <v>86</v>
      </c>
    </row>
    <row r="93" spans="1:6" x14ac:dyDescent="0.2">
      <c r="A93" s="3" t="s">
        <v>356</v>
      </c>
      <c r="B93" s="3" t="s">
        <v>359</v>
      </c>
      <c r="C93" s="37">
        <v>49</v>
      </c>
      <c r="D93" s="37">
        <v>68</v>
      </c>
      <c r="E93" s="37">
        <v>79</v>
      </c>
      <c r="F93" s="37">
        <v>84</v>
      </c>
    </row>
  </sheetData>
  <sheetProtection password="D1ED" sheet="1"/>
  <mergeCells count="1">
    <mergeCell ref="C3:F3"/>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L44"/>
  <sheetViews>
    <sheetView workbookViewId="0">
      <selection activeCell="G13" sqref="G13"/>
    </sheetView>
  </sheetViews>
  <sheetFormatPr defaultRowHeight="12.75" x14ac:dyDescent="0.2"/>
  <cols>
    <col min="3" max="3" width="28.5703125" customWidth="1"/>
    <col min="4" max="6" width="14.28515625" customWidth="1"/>
  </cols>
  <sheetData>
    <row r="3" spans="3:12" ht="25.5" customHeight="1" thickBot="1" x14ac:dyDescent="0.25">
      <c r="C3" s="208" t="s">
        <v>401</v>
      </c>
      <c r="D3" s="208"/>
      <c r="E3" s="208"/>
      <c r="F3" s="208"/>
      <c r="G3" s="146"/>
      <c r="H3" s="146"/>
      <c r="I3" s="146"/>
      <c r="J3" s="146"/>
      <c r="K3" s="146"/>
      <c r="L3" s="146"/>
    </row>
    <row r="4" spans="3:12" x14ac:dyDescent="0.2">
      <c r="C4" s="209" t="s">
        <v>368</v>
      </c>
      <c r="D4" s="210"/>
      <c r="E4" s="210"/>
      <c r="F4" s="211"/>
      <c r="G4" s="119"/>
      <c r="H4" s="119"/>
      <c r="I4" s="119"/>
      <c r="J4" s="119"/>
      <c r="K4" s="119"/>
      <c r="L4" s="119"/>
    </row>
    <row r="5" spans="3:12" x14ac:dyDescent="0.2">
      <c r="C5" s="212" t="s">
        <v>6</v>
      </c>
      <c r="D5" s="149" t="s">
        <v>369</v>
      </c>
      <c r="E5" s="149" t="s">
        <v>370</v>
      </c>
      <c r="F5" s="153" t="s">
        <v>371</v>
      </c>
    </row>
    <row r="6" spans="3:12" x14ac:dyDescent="0.2">
      <c r="C6" s="212"/>
      <c r="D6" s="149" t="s">
        <v>403</v>
      </c>
      <c r="E6" s="149" t="s">
        <v>404</v>
      </c>
      <c r="F6" s="153" t="s">
        <v>405</v>
      </c>
    </row>
    <row r="7" spans="3:12" ht="6.75" customHeight="1" x14ac:dyDescent="0.2">
      <c r="C7" s="154"/>
      <c r="D7" s="150"/>
      <c r="E7" s="150"/>
      <c r="F7" s="155"/>
    </row>
    <row r="8" spans="3:12" x14ac:dyDescent="0.2">
      <c r="C8" s="126" t="s">
        <v>372</v>
      </c>
      <c r="D8" s="151">
        <v>0.9</v>
      </c>
      <c r="E8" s="151">
        <v>0.9</v>
      </c>
      <c r="F8" s="156">
        <v>0.9</v>
      </c>
      <c r="I8" s="3" t="s">
        <v>406</v>
      </c>
    </row>
    <row r="9" spans="3:12" x14ac:dyDescent="0.2">
      <c r="C9" s="126" t="s">
        <v>373</v>
      </c>
      <c r="D9" s="151">
        <v>0.5</v>
      </c>
      <c r="E9" s="151">
        <v>0.5</v>
      </c>
      <c r="F9" s="156">
        <v>0.5</v>
      </c>
      <c r="I9" s="3" t="s">
        <v>407</v>
      </c>
    </row>
    <row r="10" spans="3:12" x14ac:dyDescent="0.2">
      <c r="C10" s="126" t="s">
        <v>374</v>
      </c>
      <c r="D10" s="151">
        <v>0.75</v>
      </c>
      <c r="E10" s="151">
        <v>0.8</v>
      </c>
      <c r="F10" s="156">
        <v>0.85</v>
      </c>
      <c r="I10" s="3" t="s">
        <v>408</v>
      </c>
    </row>
    <row r="11" spans="3:12" x14ac:dyDescent="0.2">
      <c r="C11" s="126" t="s">
        <v>375</v>
      </c>
      <c r="D11" s="151">
        <v>0.5</v>
      </c>
      <c r="E11" s="151">
        <v>0.55000000000000004</v>
      </c>
      <c r="F11" s="156">
        <v>0.6</v>
      </c>
    </row>
    <row r="12" spans="3:12" x14ac:dyDescent="0.2">
      <c r="C12" s="126" t="s">
        <v>376</v>
      </c>
      <c r="D12" s="151">
        <v>0.8</v>
      </c>
      <c r="E12" s="151">
        <v>0.85</v>
      </c>
      <c r="F12" s="156">
        <v>0.85</v>
      </c>
    </row>
    <row r="13" spans="3:12" x14ac:dyDescent="0.2">
      <c r="C13" s="126" t="s">
        <v>377</v>
      </c>
      <c r="D13" s="151">
        <v>0.34</v>
      </c>
      <c r="E13" s="151">
        <v>0.45</v>
      </c>
      <c r="F13" s="156">
        <v>0.59</v>
      </c>
    </row>
    <row r="14" spans="3:12" x14ac:dyDescent="0.2">
      <c r="C14" s="126" t="s">
        <v>378</v>
      </c>
      <c r="D14" s="151">
        <v>0.35</v>
      </c>
      <c r="E14" s="151">
        <v>0.47</v>
      </c>
      <c r="F14" s="156">
        <v>0.61</v>
      </c>
    </row>
    <row r="15" spans="3:12" x14ac:dyDescent="0.2">
      <c r="C15" s="126" t="s">
        <v>379</v>
      </c>
      <c r="D15" s="151">
        <v>0.4</v>
      </c>
      <c r="E15" s="151">
        <v>0.53</v>
      </c>
      <c r="F15" s="156">
        <v>0.69</v>
      </c>
    </row>
    <row r="16" spans="3:12" ht="6.75" customHeight="1" x14ac:dyDescent="0.2">
      <c r="C16" s="157"/>
      <c r="D16" s="152"/>
      <c r="E16" s="152"/>
      <c r="F16" s="158"/>
    </row>
    <row r="17" spans="3:6" x14ac:dyDescent="0.2">
      <c r="C17" s="126" t="s">
        <v>380</v>
      </c>
      <c r="D17" s="151">
        <v>0.5</v>
      </c>
      <c r="E17" s="151">
        <v>0.6</v>
      </c>
      <c r="F17" s="156">
        <v>0.7</v>
      </c>
    </row>
    <row r="18" spans="3:6" x14ac:dyDescent="0.2">
      <c r="C18" s="126" t="s">
        <v>381</v>
      </c>
      <c r="D18" s="151">
        <v>0.45</v>
      </c>
      <c r="E18" s="151">
        <v>0.5</v>
      </c>
      <c r="F18" s="156">
        <v>0.55000000000000004</v>
      </c>
    </row>
    <row r="19" spans="3:6" x14ac:dyDescent="0.2">
      <c r="C19" s="126" t="s">
        <v>382</v>
      </c>
      <c r="D19" s="151">
        <v>0.6</v>
      </c>
      <c r="E19" s="151">
        <v>0.65</v>
      </c>
      <c r="F19" s="156">
        <v>0.7</v>
      </c>
    </row>
    <row r="20" spans="3:6" x14ac:dyDescent="0.2">
      <c r="C20" s="126" t="s">
        <v>383</v>
      </c>
      <c r="D20" s="151">
        <v>0.1</v>
      </c>
      <c r="E20" s="151">
        <v>0.15</v>
      </c>
      <c r="F20" s="156">
        <v>0.2</v>
      </c>
    </row>
    <row r="21" spans="3:6" x14ac:dyDescent="0.2">
      <c r="C21" s="126" t="s">
        <v>384</v>
      </c>
      <c r="D21" s="151">
        <v>0.17</v>
      </c>
      <c r="E21" s="151">
        <v>0.22</v>
      </c>
      <c r="F21" s="156">
        <v>0.35</v>
      </c>
    </row>
    <row r="22" spans="3:6" ht="6.75" customHeight="1" x14ac:dyDescent="0.2">
      <c r="C22" s="157"/>
      <c r="D22" s="152"/>
      <c r="E22" s="152"/>
      <c r="F22" s="158"/>
    </row>
    <row r="23" spans="3:6" x14ac:dyDescent="0.2">
      <c r="C23" s="126" t="s">
        <v>385</v>
      </c>
      <c r="D23" s="151">
        <v>0.25</v>
      </c>
      <c r="E23" s="151">
        <v>0.25</v>
      </c>
      <c r="F23" s="156">
        <v>0.25</v>
      </c>
    </row>
    <row r="24" spans="3:6" x14ac:dyDescent="0.2">
      <c r="C24" s="126" t="s">
        <v>386</v>
      </c>
      <c r="D24" s="151">
        <v>0.6</v>
      </c>
      <c r="E24" s="151">
        <v>0.6</v>
      </c>
      <c r="F24" s="156">
        <v>0.6</v>
      </c>
    </row>
    <row r="25" spans="3:6" x14ac:dyDescent="0.2">
      <c r="C25" s="126" t="s">
        <v>387</v>
      </c>
      <c r="D25" s="151">
        <v>0.3</v>
      </c>
      <c r="E25" s="151">
        <v>0.3</v>
      </c>
      <c r="F25" s="156">
        <v>0.3</v>
      </c>
    </row>
    <row r="26" spans="3:6" x14ac:dyDescent="0.2">
      <c r="C26" s="126" t="s">
        <v>388</v>
      </c>
      <c r="D26" s="151">
        <v>0.25</v>
      </c>
      <c r="E26" s="151">
        <v>0.3</v>
      </c>
      <c r="F26" s="156">
        <v>0.3</v>
      </c>
    </row>
    <row r="27" spans="3:6" x14ac:dyDescent="0.2">
      <c r="C27" s="126" t="s">
        <v>389</v>
      </c>
      <c r="D27" s="151">
        <v>0.5</v>
      </c>
      <c r="E27" s="151">
        <v>0.55000000000000004</v>
      </c>
      <c r="F27" s="156">
        <v>0.6</v>
      </c>
    </row>
    <row r="28" spans="3:6" ht="6.75" customHeight="1" x14ac:dyDescent="0.2">
      <c r="C28" s="157"/>
      <c r="D28" s="152"/>
      <c r="E28" s="152"/>
      <c r="F28" s="158"/>
    </row>
    <row r="29" spans="3:6" x14ac:dyDescent="0.2">
      <c r="C29" s="126" t="s">
        <v>390</v>
      </c>
      <c r="D29" s="151">
        <v>0.25</v>
      </c>
      <c r="E29" s="151">
        <v>0.3</v>
      </c>
      <c r="F29" s="156">
        <v>0.35</v>
      </c>
    </row>
    <row r="30" spans="3:6" x14ac:dyDescent="0.2">
      <c r="C30" s="126" t="s">
        <v>391</v>
      </c>
      <c r="D30" s="151">
        <v>0.5</v>
      </c>
      <c r="E30" s="151">
        <v>0.7</v>
      </c>
      <c r="F30" s="156">
        <v>0.8</v>
      </c>
    </row>
    <row r="31" spans="3:6" x14ac:dyDescent="0.2">
      <c r="C31" s="126" t="s">
        <v>392</v>
      </c>
      <c r="D31" s="151">
        <v>0.6</v>
      </c>
      <c r="E31" s="151">
        <v>0.8</v>
      </c>
      <c r="F31" s="156">
        <v>0.9</v>
      </c>
    </row>
    <row r="32" spans="3:6" x14ac:dyDescent="0.2">
      <c r="C32" s="126" t="s">
        <v>393</v>
      </c>
      <c r="D32" s="151">
        <v>0.1</v>
      </c>
      <c r="E32" s="151">
        <v>0.15</v>
      </c>
      <c r="F32" s="156">
        <v>0.25</v>
      </c>
    </row>
    <row r="33" spans="3:6" x14ac:dyDescent="0.2">
      <c r="C33" s="126" t="s">
        <v>394</v>
      </c>
      <c r="D33" s="151">
        <v>0.2</v>
      </c>
      <c r="E33" s="151">
        <v>0.25</v>
      </c>
      <c r="F33" s="156">
        <v>0.3</v>
      </c>
    </row>
    <row r="34" spans="3:6" ht="6.75" customHeight="1" x14ac:dyDescent="0.2">
      <c r="C34" s="157"/>
      <c r="D34" s="152"/>
      <c r="E34" s="152"/>
      <c r="F34" s="158"/>
    </row>
    <row r="35" spans="3:6" x14ac:dyDescent="0.2">
      <c r="C35" s="126" t="s">
        <v>395</v>
      </c>
      <c r="D35" s="151">
        <v>0.1</v>
      </c>
      <c r="E35" s="151">
        <v>0.15</v>
      </c>
      <c r="F35" s="156">
        <v>0.2</v>
      </c>
    </row>
    <row r="36" spans="3:6" x14ac:dyDescent="0.2">
      <c r="C36" s="126" t="s">
        <v>396</v>
      </c>
      <c r="D36" s="151">
        <v>0.25</v>
      </c>
      <c r="E36" s="151">
        <v>0.3</v>
      </c>
      <c r="F36" s="156">
        <v>0.35</v>
      </c>
    </row>
    <row r="37" spans="3:6" x14ac:dyDescent="0.2">
      <c r="C37" s="126" t="s">
        <v>397</v>
      </c>
      <c r="D37" s="151">
        <v>0.1</v>
      </c>
      <c r="E37" s="151">
        <v>0.2</v>
      </c>
      <c r="F37" s="156">
        <v>0.3</v>
      </c>
    </row>
    <row r="38" spans="3:6" ht="6.75" customHeight="1" x14ac:dyDescent="0.2">
      <c r="C38" s="157"/>
      <c r="D38" s="152"/>
      <c r="E38" s="152"/>
      <c r="F38" s="158"/>
    </row>
    <row r="39" spans="3:6" x14ac:dyDescent="0.2">
      <c r="C39" s="126" t="s">
        <v>398</v>
      </c>
      <c r="D39" s="151">
        <v>0.25</v>
      </c>
      <c r="E39" s="151">
        <v>0.3</v>
      </c>
      <c r="F39" s="159" t="s">
        <v>360</v>
      </c>
    </row>
    <row r="40" spans="3:6" ht="13.5" thickBot="1" x14ac:dyDescent="0.25">
      <c r="C40" s="160" t="s">
        <v>399</v>
      </c>
      <c r="D40" s="161">
        <v>0.6</v>
      </c>
      <c r="E40" s="161">
        <v>0.7</v>
      </c>
      <c r="F40" s="162">
        <v>0.75</v>
      </c>
    </row>
    <row r="41" spans="3:6" ht="38.25" customHeight="1" thickBot="1" x14ac:dyDescent="0.25">
      <c r="C41" s="213" t="s">
        <v>400</v>
      </c>
      <c r="D41" s="214"/>
      <c r="E41" s="214"/>
      <c r="F41" s="215"/>
    </row>
    <row r="42" spans="3:6" x14ac:dyDescent="0.2">
      <c r="D42" s="37"/>
      <c r="E42" s="37"/>
      <c r="F42" s="37"/>
    </row>
    <row r="43" spans="3:6" x14ac:dyDescent="0.2">
      <c r="D43" s="37"/>
      <c r="E43" s="37"/>
      <c r="F43" s="37"/>
    </row>
    <row r="44" spans="3:6" x14ac:dyDescent="0.2">
      <c r="D44" s="37"/>
      <c r="E44" s="37"/>
      <c r="F44" s="37"/>
    </row>
  </sheetData>
  <sheetProtection password="D1ED" sheet="1" objects="1" scenarios="1"/>
  <mergeCells count="4">
    <mergeCell ref="C3:F3"/>
    <mergeCell ref="C4:F4"/>
    <mergeCell ref="C5:C6"/>
    <mergeCell ref="C41:F4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8"/>
  <sheetViews>
    <sheetView workbookViewId="0">
      <selection activeCell="G13" sqref="G13"/>
    </sheetView>
  </sheetViews>
  <sheetFormatPr defaultRowHeight="12.75" x14ac:dyDescent="0.2"/>
  <cols>
    <col min="3" max="3" width="16.85546875" bestFit="1" customWidth="1"/>
  </cols>
  <sheetData>
    <row r="5" spans="3:4" x14ac:dyDescent="0.2">
      <c r="C5" s="3" t="s">
        <v>409</v>
      </c>
      <c r="D5" s="164">
        <v>1.0999999999999999E-2</v>
      </c>
    </row>
    <row r="6" spans="3:4" x14ac:dyDescent="0.2">
      <c r="C6" s="3" t="s">
        <v>410</v>
      </c>
      <c r="D6" s="164">
        <v>0.2</v>
      </c>
    </row>
    <row r="7" spans="3:4" x14ac:dyDescent="0.2">
      <c r="C7" s="3" t="s">
        <v>411</v>
      </c>
      <c r="D7" s="164">
        <v>0.4</v>
      </c>
    </row>
    <row r="8" spans="3:4" x14ac:dyDescent="0.2">
      <c r="C8" s="3" t="s">
        <v>80</v>
      </c>
      <c r="D8" s="164">
        <v>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186"/>
  <sheetViews>
    <sheetView view="pageLayout" topLeftCell="A91" zoomScaleNormal="100" workbookViewId="0">
      <selection activeCell="A94" sqref="A94:H94"/>
    </sheetView>
  </sheetViews>
  <sheetFormatPr defaultColWidth="9.140625" defaultRowHeight="12" x14ac:dyDescent="0.2"/>
  <cols>
    <col min="1" max="1" width="22.85546875" style="75" customWidth="1"/>
    <col min="2" max="2" width="9.28515625" style="75" customWidth="1"/>
    <col min="3" max="3" width="6.42578125" style="75" customWidth="1"/>
    <col min="4" max="4" width="9.7109375" style="75" customWidth="1"/>
    <col min="5" max="5" width="14.140625" style="75" customWidth="1"/>
    <col min="6" max="6" width="11" style="75" customWidth="1"/>
    <col min="7" max="7" width="9.5703125" style="75" customWidth="1"/>
    <col min="8" max="8" width="6.85546875" style="75" customWidth="1"/>
    <col min="9" max="9" width="12" style="75" hidden="1" customWidth="1"/>
    <col min="10" max="22" width="9.140625" style="75" hidden="1" customWidth="1"/>
    <col min="23" max="16384" width="9.140625" style="75"/>
  </cols>
  <sheetData>
    <row r="2" spans="1:35" s="76" customFormat="1" ht="12.75" x14ac:dyDescent="0.2">
      <c r="A2" s="109" t="s">
        <v>420</v>
      </c>
    </row>
    <row r="3" spans="1:35" ht="12.75" x14ac:dyDescent="0.2">
      <c r="A3" s="110"/>
      <c r="B3" s="77"/>
      <c r="C3" s="77"/>
      <c r="D3" s="77"/>
      <c r="E3" s="77"/>
      <c r="F3" s="77"/>
    </row>
    <row r="4" spans="1:35" ht="8.25" customHeight="1" x14ac:dyDescent="0.2"/>
    <row r="5" spans="1:35" ht="12" customHeight="1" x14ac:dyDescent="0.2">
      <c r="A5" s="78" t="s">
        <v>0</v>
      </c>
    </row>
    <row r="6" spans="1:35" ht="18.75" customHeight="1" x14ac:dyDescent="0.2">
      <c r="A6" s="182" t="s">
        <v>421</v>
      </c>
      <c r="B6" s="182"/>
      <c r="C6" s="182"/>
      <c r="D6" s="182"/>
      <c r="E6" s="182"/>
      <c r="F6" s="182"/>
      <c r="G6" s="182"/>
      <c r="H6" s="182"/>
      <c r="I6" s="169"/>
      <c r="J6" s="169"/>
    </row>
    <row r="7" spans="1:35" ht="72.75" customHeight="1" x14ac:dyDescent="0.2">
      <c r="A7" s="182"/>
      <c r="B7" s="182"/>
      <c r="C7" s="182"/>
      <c r="D7" s="182"/>
      <c r="E7" s="182"/>
      <c r="F7" s="182"/>
      <c r="G7" s="182"/>
      <c r="H7" s="182"/>
      <c r="I7" s="170"/>
      <c r="J7" s="170"/>
    </row>
    <row r="8" spans="1:35" x14ac:dyDescent="0.2">
      <c r="A8" s="77"/>
      <c r="B8" s="77"/>
      <c r="C8" s="77"/>
      <c r="D8" s="77"/>
      <c r="E8" s="77"/>
      <c r="F8" s="77"/>
      <c r="G8" s="77"/>
      <c r="H8" s="77"/>
      <c r="I8" s="77"/>
    </row>
    <row r="9" spans="1:35" x14ac:dyDescent="0.2">
      <c r="A9" s="77" t="s">
        <v>1</v>
      </c>
      <c r="B9" s="77"/>
      <c r="D9" s="111">
        <v>5.86</v>
      </c>
      <c r="E9" s="77"/>
      <c r="F9" s="77"/>
      <c r="G9" s="77"/>
      <c r="I9" s="77"/>
    </row>
    <row r="10" spans="1:35" x14ac:dyDescent="0.2">
      <c r="A10" s="77"/>
      <c r="B10" s="77"/>
      <c r="D10" s="77"/>
      <c r="E10" s="77"/>
      <c r="F10" s="77"/>
      <c r="G10" s="77"/>
      <c r="H10" s="77"/>
      <c r="I10" s="77"/>
    </row>
    <row r="11" spans="1:35" x14ac:dyDescent="0.2">
      <c r="A11" s="80" t="s">
        <v>93</v>
      </c>
      <c r="B11" s="80"/>
      <c r="C11" s="80"/>
      <c r="D11" s="77"/>
      <c r="E11" s="77"/>
      <c r="F11" s="77"/>
      <c r="G11" s="77"/>
      <c r="H11" s="77"/>
      <c r="I11" s="77"/>
    </row>
    <row r="12" spans="1:35" ht="13.5" customHeight="1" x14ac:dyDescent="0.2">
      <c r="A12" s="148" t="s">
        <v>361</v>
      </c>
      <c r="B12" s="143" t="s">
        <v>225</v>
      </c>
      <c r="C12" s="77"/>
      <c r="D12" s="77"/>
      <c r="E12" s="77"/>
      <c r="F12" s="77"/>
      <c r="G12" s="77"/>
      <c r="H12" s="77"/>
      <c r="I12" s="77"/>
    </row>
    <row r="13" spans="1:35" ht="13.5" customHeight="1" thickBot="1" x14ac:dyDescent="0.25">
      <c r="A13" s="147"/>
      <c r="B13" s="77"/>
      <c r="C13" s="77"/>
      <c r="D13" s="77"/>
      <c r="E13" s="77"/>
      <c r="F13" s="77"/>
      <c r="G13" s="77"/>
      <c r="H13" s="77"/>
      <c r="I13" s="77"/>
    </row>
    <row r="14" spans="1:35" x14ac:dyDescent="0.2">
      <c r="A14" s="77"/>
      <c r="B14" s="51" t="s">
        <v>2</v>
      </c>
      <c r="C14" s="51"/>
      <c r="D14" s="51" t="s">
        <v>79</v>
      </c>
      <c r="E14" s="197" t="s">
        <v>6</v>
      </c>
      <c r="F14" s="197"/>
      <c r="G14" s="77"/>
      <c r="H14" s="77"/>
      <c r="I14" s="77"/>
      <c r="W14" s="194" t="s">
        <v>362</v>
      </c>
      <c r="X14" s="195"/>
      <c r="Y14" s="195"/>
      <c r="Z14" s="195"/>
      <c r="AA14" s="195"/>
      <c r="AB14" s="195"/>
      <c r="AC14" s="195"/>
      <c r="AD14" s="195"/>
      <c r="AE14" s="195"/>
      <c r="AF14" s="195"/>
      <c r="AG14" s="195"/>
      <c r="AH14" s="195"/>
      <c r="AI14" s="196"/>
    </row>
    <row r="15" spans="1:35" x14ac:dyDescent="0.2">
      <c r="A15" s="77"/>
      <c r="B15" s="111">
        <v>0.57999999999999996</v>
      </c>
      <c r="C15" s="51" t="s">
        <v>3</v>
      </c>
      <c r="D15" s="79">
        <f>IF(ISBLANK(E15),0,IF($B$12='Curve Numbers'!$C$4,VLOOKUP(E15,'Curve Numbers'!$A$5:$F$93,3,FALSE),IF($B$12='Curve Numbers'!$D$4,VLOOKUP(E15,'Curve Numbers'!$A$5:$F$93,4,FALSE),IF($B$12='Curve Numbers'!$E$4,VLOOKUP(E15,'Curve Numbers'!$A$5:$F$93,5,FALSE),IF($B$12='Curve Numbers'!$F$4,VLOOKUP(E15,'Curve Numbers'!$A$5:$F$93,6,FALSE),"UPDATE")))))</f>
        <v>92</v>
      </c>
      <c r="E15" s="183" t="s">
        <v>235</v>
      </c>
      <c r="F15" s="183"/>
      <c r="G15" s="183"/>
      <c r="H15" s="77"/>
      <c r="I15" s="77"/>
      <c r="W15" s="184" t="str">
        <f>IF(ISBLANK(E15),"",VLOOKUP(E15,'Curve Numbers'!$A$5:$F$93,2,FALSE))</f>
        <v xml:space="preserve">Impervious Area  </v>
      </c>
      <c r="X15" s="185"/>
      <c r="Y15" s="185"/>
      <c r="Z15" s="185"/>
      <c r="AA15" s="185"/>
      <c r="AB15" s="185"/>
      <c r="AC15" s="185"/>
      <c r="AD15" s="185"/>
      <c r="AE15" s="185"/>
      <c r="AF15" s="185"/>
      <c r="AG15" s="185"/>
      <c r="AH15" s="185"/>
      <c r="AI15" s="186"/>
    </row>
    <row r="16" spans="1:35" x14ac:dyDescent="0.2">
      <c r="A16" s="77"/>
      <c r="B16" s="111">
        <v>4.88</v>
      </c>
      <c r="C16" s="51" t="s">
        <v>3</v>
      </c>
      <c r="D16" s="79">
        <f>IF(ISBLANK(E16),0,IF($B$12='Curve Numbers'!$C$4,VLOOKUP(E16,'Curve Numbers'!$A$5:$F$93,3,FALSE),IF($B$12='Curve Numbers'!$D$4,VLOOKUP(E16,'Curve Numbers'!$A$5:$F$93,4,FALSE),IF($B$12='Curve Numbers'!$E$4,VLOOKUP(E16,'Curve Numbers'!$A$5:$F$93,5,FALSE),IF($B$12='Curve Numbers'!$F$4,VLOOKUP(E16,'Curve Numbers'!$A$5:$F$93,6,FALSE),"UPDATE")))))</f>
        <v>70</v>
      </c>
      <c r="E16" s="183" t="s">
        <v>314</v>
      </c>
      <c r="F16" s="183"/>
      <c r="G16" s="183"/>
      <c r="H16" s="77"/>
      <c r="I16" s="77"/>
      <c r="W16" s="184" t="str">
        <f>IF(ISBLANK(E16),"",VLOOKUP(E16,'Curve Numbers'!$A$5:$F$93,2,FALSE))</f>
        <v>Woods are protected from grazing, and litter and brush adequately cover the soil.</v>
      </c>
      <c r="X16" s="185"/>
      <c r="Y16" s="185"/>
      <c r="Z16" s="185"/>
      <c r="AA16" s="185"/>
      <c r="AB16" s="185"/>
      <c r="AC16" s="185"/>
      <c r="AD16" s="185"/>
      <c r="AE16" s="185"/>
      <c r="AF16" s="185"/>
      <c r="AG16" s="185"/>
      <c r="AH16" s="185"/>
      <c r="AI16" s="186"/>
    </row>
    <row r="17" spans="1:35" x14ac:dyDescent="0.2">
      <c r="A17" s="77"/>
      <c r="B17" s="111">
        <v>0</v>
      </c>
      <c r="C17" s="51" t="s">
        <v>3</v>
      </c>
      <c r="D17" s="79">
        <f>IF(ISBLANK(E17),0,IF($B$12='Curve Numbers'!$C$4,VLOOKUP(E17,'Curve Numbers'!$A$5:$F$93,3,FALSE),IF($B$12='Curve Numbers'!$D$4,VLOOKUP(E17,'Curve Numbers'!$A$5:$F$93,4,FALSE),IF($B$12='Curve Numbers'!$E$4,VLOOKUP(E17,'Curve Numbers'!$A$5:$F$93,5,FALSE),IF($B$12='Curve Numbers'!$F$4,VLOOKUP(E17,'Curve Numbers'!$A$5:$F$93,6,FALSE),"UPDATE")))))</f>
        <v>80</v>
      </c>
      <c r="E17" s="183" t="s">
        <v>253</v>
      </c>
      <c r="F17" s="183"/>
      <c r="G17" s="183"/>
      <c r="H17" s="77"/>
      <c r="I17" s="77"/>
      <c r="W17" s="184" t="str">
        <f>IF(ISBLANK(E17),"",VLOOKUP(E17,'Curve Numbers'!$A$5:$F$93,2,FALSE))</f>
        <v>Average Impervious Area = 25%</v>
      </c>
      <c r="X17" s="185"/>
      <c r="Y17" s="185"/>
      <c r="Z17" s="185"/>
      <c r="AA17" s="185"/>
      <c r="AB17" s="185"/>
      <c r="AC17" s="185"/>
      <c r="AD17" s="185"/>
      <c r="AE17" s="185"/>
      <c r="AF17" s="185"/>
      <c r="AG17" s="185"/>
      <c r="AH17" s="185"/>
      <c r="AI17" s="186"/>
    </row>
    <row r="18" spans="1:35" x14ac:dyDescent="0.2">
      <c r="A18" s="77"/>
      <c r="B18" s="111">
        <v>0</v>
      </c>
      <c r="C18" s="51" t="s">
        <v>3</v>
      </c>
      <c r="D18" s="79">
        <f>IF(ISBLANK(E18),0,IF($B$12='Curve Numbers'!$C$4,VLOOKUP(E18,'Curve Numbers'!$A$5:$F$93,3,FALSE),IF($B$12='Curve Numbers'!$D$4,VLOOKUP(E18,'Curve Numbers'!$A$5:$F$93,4,FALSE),IF($B$12='Curve Numbers'!$E$4,VLOOKUP(E18,'Curve Numbers'!$A$5:$F$93,5,FALSE),IF($B$12='Curve Numbers'!$F$4,VLOOKUP(E18,'Curve Numbers'!$A$5:$F$93,6,FALSE),"UPDATE")))))</f>
        <v>94</v>
      </c>
      <c r="E18" s="183" t="s">
        <v>242</v>
      </c>
      <c r="F18" s="183"/>
      <c r="G18" s="183"/>
      <c r="H18" s="77"/>
      <c r="I18" s="77"/>
      <c r="W18" s="184" t="str">
        <f>IF(ISBLANK(E18),"",VLOOKUP(E18,'Curve Numbers'!$A$5:$F$93,2,FALSE))</f>
        <v>Average Impervious Area = 85%</v>
      </c>
      <c r="X18" s="185"/>
      <c r="Y18" s="185"/>
      <c r="Z18" s="185"/>
      <c r="AA18" s="185"/>
      <c r="AB18" s="185"/>
      <c r="AC18" s="185"/>
      <c r="AD18" s="185"/>
      <c r="AE18" s="185"/>
      <c r="AF18" s="185"/>
      <c r="AG18" s="185"/>
      <c r="AH18" s="185"/>
      <c r="AI18" s="186"/>
    </row>
    <row r="19" spans="1:35" x14ac:dyDescent="0.2">
      <c r="A19" s="77"/>
      <c r="B19" s="111">
        <v>0.4</v>
      </c>
      <c r="C19" s="51" t="s">
        <v>3</v>
      </c>
      <c r="D19" s="79">
        <f>IF(ISBLANK(E19),0,IF($B$12='Curve Numbers'!$C$4,VLOOKUP(E19,'Curve Numbers'!$A$5:$F$93,3,FALSE),IF($B$12='Curve Numbers'!$D$4,VLOOKUP(E19,'Curve Numbers'!$A$5:$F$93,4,FALSE),IF($B$12='Curve Numbers'!$E$4,VLOOKUP(E19,'Curve Numbers'!$A$5:$F$93,5,FALSE),IF($B$12='Curve Numbers'!$F$4,VLOOKUP(E19,'Curve Numbers'!$A$5:$F$93,6,FALSE),"UPDATE")))))</f>
        <v>74</v>
      </c>
      <c r="E19" s="183" t="s">
        <v>231</v>
      </c>
      <c r="F19" s="183"/>
      <c r="G19" s="183"/>
      <c r="H19" s="77"/>
      <c r="I19" s="77"/>
      <c r="W19" s="184" t="str">
        <f>IF(ISBLANK(E19),"",VLOOKUP(E19,'Curve Numbers'!$A$5:$F$93,2,FALSE))</f>
        <v>Grass Cover &gt; 75%</v>
      </c>
      <c r="X19" s="185"/>
      <c r="Y19" s="185"/>
      <c r="Z19" s="185"/>
      <c r="AA19" s="185"/>
      <c r="AB19" s="185"/>
      <c r="AC19" s="185"/>
      <c r="AD19" s="185"/>
      <c r="AE19" s="185"/>
      <c r="AF19" s="185"/>
      <c r="AG19" s="185"/>
      <c r="AH19" s="185"/>
      <c r="AI19" s="186"/>
    </row>
    <row r="20" spans="1:35" x14ac:dyDescent="0.2">
      <c r="A20" s="77"/>
      <c r="B20" s="111">
        <v>0</v>
      </c>
      <c r="C20" s="51" t="s">
        <v>3</v>
      </c>
      <c r="D20" s="79">
        <f>IF(ISBLANK(E20),0,IF($B$12='Curve Numbers'!$C$4,VLOOKUP(E20,'Curve Numbers'!$A$5:$F$93,3,FALSE),IF($B$12='Curve Numbers'!$D$4,VLOOKUP(E20,'Curve Numbers'!$A$5:$F$93,4,FALSE),IF($B$12='Curve Numbers'!$E$4,VLOOKUP(E20,'Curve Numbers'!$A$5:$F$93,5,FALSE),IF($B$12='Curve Numbers'!$F$4,VLOOKUP(E20,'Curve Numbers'!$A$5:$F$93,6,FALSE),"UPDATE")))))</f>
        <v>0</v>
      </c>
      <c r="E20" s="183"/>
      <c r="F20" s="183"/>
      <c r="G20" s="183"/>
      <c r="H20" s="77"/>
      <c r="I20" s="77"/>
      <c r="W20" s="184" t="str">
        <f>IF(ISBLANK(E20),"",VLOOKUP(E20,'Curve Numbers'!$A$5:$F$93,2,FALSE))</f>
        <v/>
      </c>
      <c r="X20" s="185"/>
      <c r="Y20" s="185"/>
      <c r="Z20" s="185"/>
      <c r="AA20" s="185"/>
      <c r="AB20" s="185"/>
      <c r="AC20" s="185"/>
      <c r="AD20" s="185"/>
      <c r="AE20" s="185"/>
      <c r="AF20" s="185"/>
      <c r="AG20" s="185"/>
      <c r="AH20" s="185"/>
      <c r="AI20" s="186"/>
    </row>
    <row r="21" spans="1:35" x14ac:dyDescent="0.2">
      <c r="A21" s="77"/>
      <c r="B21" s="111">
        <v>0</v>
      </c>
      <c r="C21" s="51" t="s">
        <v>3</v>
      </c>
      <c r="D21" s="79">
        <f>IF(ISBLANK(E21),0,IF($B$12='Curve Numbers'!$C$4,VLOOKUP(E21,'Curve Numbers'!$A$5:$F$93,3,FALSE),IF($B$12='Curve Numbers'!$D$4,VLOOKUP(E21,'Curve Numbers'!$A$5:$F$93,4,FALSE),IF($B$12='Curve Numbers'!$E$4,VLOOKUP(E21,'Curve Numbers'!$A$5:$F$93,5,FALSE),IF($B$12='Curve Numbers'!$F$4,VLOOKUP(E21,'Curve Numbers'!$A$5:$F$93,6,FALSE),"UPDATE")))))</f>
        <v>0</v>
      </c>
      <c r="E21" s="183"/>
      <c r="F21" s="183"/>
      <c r="G21" s="183"/>
      <c r="H21" s="77"/>
      <c r="I21" s="77"/>
      <c r="W21" s="184" t="str">
        <f>IF(ISBLANK(E21),"",VLOOKUP(E21,'Curve Numbers'!$A$5:$F$93,2,FALSE))</f>
        <v/>
      </c>
      <c r="X21" s="185"/>
      <c r="Y21" s="185"/>
      <c r="Z21" s="185"/>
      <c r="AA21" s="185"/>
      <c r="AB21" s="185"/>
      <c r="AC21" s="185"/>
      <c r="AD21" s="185"/>
      <c r="AE21" s="185"/>
      <c r="AF21" s="185"/>
      <c r="AG21" s="185"/>
      <c r="AH21" s="185"/>
      <c r="AI21" s="186"/>
    </row>
    <row r="22" spans="1:35" ht="12.75" thickBot="1" x14ac:dyDescent="0.25">
      <c r="A22" s="77"/>
      <c r="B22" s="111">
        <v>0</v>
      </c>
      <c r="C22" s="51" t="s">
        <v>3</v>
      </c>
      <c r="D22" s="79">
        <f>IF(ISBLANK(E22),0,IF($B$12='Curve Numbers'!$C$4,VLOOKUP(E22,'Curve Numbers'!$A$5:$F$93,3,FALSE),IF($B$12='Curve Numbers'!$D$4,VLOOKUP(E22,'Curve Numbers'!$A$5:$F$93,4,FALSE),IF($B$12='Curve Numbers'!$E$4,VLOOKUP(E22,'Curve Numbers'!$A$5:$F$93,5,FALSE),IF($B$12='Curve Numbers'!$F$4,VLOOKUP(E22,'Curve Numbers'!$A$5:$F$93,6,FALSE),"UPDATE")))))</f>
        <v>0</v>
      </c>
      <c r="E22" s="183"/>
      <c r="F22" s="183"/>
      <c r="G22" s="183"/>
      <c r="H22" s="77"/>
      <c r="I22" s="77"/>
      <c r="W22" s="191" t="str">
        <f>IF(ISBLANK(E22),"",VLOOKUP(E22,'Curve Numbers'!$A$5:$F$93,2,FALSE))</f>
        <v/>
      </c>
      <c r="X22" s="192"/>
      <c r="Y22" s="192"/>
      <c r="Z22" s="192"/>
      <c r="AA22" s="192"/>
      <c r="AB22" s="192"/>
      <c r="AC22" s="192"/>
      <c r="AD22" s="192"/>
      <c r="AE22" s="192"/>
      <c r="AF22" s="192"/>
      <c r="AG22" s="192"/>
      <c r="AH22" s="192"/>
      <c r="AI22" s="193"/>
    </row>
    <row r="23" spans="1:35" x14ac:dyDescent="0.2">
      <c r="A23" s="77"/>
      <c r="B23" s="81"/>
      <c r="C23" s="77"/>
      <c r="D23" s="77"/>
      <c r="E23" s="77"/>
      <c r="F23" s="77"/>
      <c r="G23" s="77"/>
      <c r="H23" s="77"/>
      <c r="I23" s="77"/>
    </row>
    <row r="24" spans="1:35" x14ac:dyDescent="0.2">
      <c r="E24" s="75" t="s">
        <v>81</v>
      </c>
      <c r="G24" s="82">
        <f>((B15*D15)+(B16*D16)+(B17*D17)+(B22*D22)+(B21*D21)+(B18*D18)+(B19*D19)+(B20*D20))/(D9)</f>
        <v>72.450511945392492</v>
      </c>
    </row>
    <row r="26" spans="1:35" ht="13.5" x14ac:dyDescent="0.25">
      <c r="A26" s="83" t="s">
        <v>94</v>
      </c>
      <c r="B26" s="83"/>
      <c r="C26" s="83"/>
    </row>
    <row r="28" spans="1:35" ht="13.5" x14ac:dyDescent="0.25">
      <c r="B28" s="75" t="s">
        <v>95</v>
      </c>
      <c r="E28" s="84">
        <f>'tc-pre'!D48</f>
        <v>0.81686055729959095</v>
      </c>
      <c r="F28" s="75" t="s">
        <v>11</v>
      </c>
    </row>
    <row r="29" spans="1:35" x14ac:dyDescent="0.2">
      <c r="B29" s="75" t="s">
        <v>9</v>
      </c>
    </row>
    <row r="31" spans="1:35" x14ac:dyDescent="0.2">
      <c r="A31" s="83" t="s">
        <v>82</v>
      </c>
    </row>
    <row r="32" spans="1:35" x14ac:dyDescent="0.2">
      <c r="A32" s="97" t="s">
        <v>367</v>
      </c>
      <c r="B32" s="188" t="s">
        <v>159</v>
      </c>
      <c r="C32" s="188"/>
      <c r="D32" s="188"/>
    </row>
    <row r="33" spans="1:9" x14ac:dyDescent="0.2">
      <c r="A33" s="90"/>
      <c r="B33" s="98"/>
      <c r="C33" s="98"/>
    </row>
    <row r="34" spans="1:9" x14ac:dyDescent="0.2">
      <c r="A34" s="51"/>
      <c r="C34" s="85" t="s">
        <v>13</v>
      </c>
      <c r="D34" s="85"/>
      <c r="E34" s="85"/>
      <c r="F34" s="86" t="s">
        <v>83</v>
      </c>
    </row>
    <row r="35" spans="1:9" x14ac:dyDescent="0.2">
      <c r="C35" s="75">
        <v>2</v>
      </c>
      <c r="D35" s="75" t="s">
        <v>15</v>
      </c>
      <c r="F35" s="79">
        <f>VLOOKUP($B$32,'SCDHEC 24 HR Storm (in.)'!$B$3:$J$64,3,FALSE)</f>
        <v>3.6</v>
      </c>
    </row>
    <row r="36" spans="1:9" x14ac:dyDescent="0.2">
      <c r="C36" s="75">
        <v>10</v>
      </c>
      <c r="D36" s="75" t="s">
        <v>15</v>
      </c>
      <c r="F36" s="79">
        <f>VLOOKUP($B$32,'SCDHEC 24 HR Storm (in.)'!$B$3:$J$64,5,FALSE)</f>
        <v>5.3</v>
      </c>
    </row>
    <row r="37" spans="1:9" x14ac:dyDescent="0.2">
      <c r="C37" s="75">
        <v>25</v>
      </c>
      <c r="D37" s="75" t="s">
        <v>15</v>
      </c>
      <c r="F37" s="79">
        <f>VLOOKUP($B$32,'SCDHEC 24 HR Storm (in.)'!$B$3:$J$64,6,FALSE)</f>
        <v>6.4</v>
      </c>
    </row>
    <row r="38" spans="1:9" x14ac:dyDescent="0.2">
      <c r="C38" s="75">
        <v>50</v>
      </c>
      <c r="D38" s="75" t="s">
        <v>15</v>
      </c>
      <c r="F38" s="79">
        <f>VLOOKUP($B$32,'SCDHEC 24 HR Storm (in.)'!$B$3:$J$64,7,FALSE)</f>
        <v>7.3</v>
      </c>
    </row>
    <row r="39" spans="1:9" x14ac:dyDescent="0.2">
      <c r="C39" s="75">
        <v>100</v>
      </c>
      <c r="D39" s="75" t="s">
        <v>15</v>
      </c>
      <c r="F39" s="79">
        <f>VLOOKUP($B$32,'SCDHEC 24 HR Storm (in.)'!$B$3:$J$64,8,FALSE)</f>
        <v>8.3000000000000007</v>
      </c>
    </row>
    <row r="41" spans="1:9" ht="13.5" x14ac:dyDescent="0.25">
      <c r="A41" s="83" t="s">
        <v>96</v>
      </c>
    </row>
    <row r="43" spans="1:9" x14ac:dyDescent="0.2">
      <c r="C43" s="75" t="s">
        <v>84</v>
      </c>
      <c r="E43" s="87">
        <f>1000/G24-10</f>
        <v>3.8025249670246843</v>
      </c>
      <c r="F43" s="75" t="s">
        <v>85</v>
      </c>
      <c r="G43" s="77"/>
    </row>
    <row r="45" spans="1:9" ht="13.5" x14ac:dyDescent="0.25">
      <c r="C45" s="75" t="s">
        <v>97</v>
      </c>
      <c r="E45" s="87">
        <f>0.2*E43</f>
        <v>0.76050499340493694</v>
      </c>
      <c r="F45" s="75" t="s">
        <v>85</v>
      </c>
    </row>
    <row r="46" spans="1:9" x14ac:dyDescent="0.2">
      <c r="A46" s="76" t="str">
        <f>A2</f>
        <v>Lexington County I-20 Widening - Outfall #16</v>
      </c>
      <c r="B46" s="76"/>
      <c r="C46" s="76"/>
      <c r="D46" s="76"/>
      <c r="E46" s="76"/>
      <c r="F46" s="76"/>
      <c r="G46" s="76"/>
      <c r="H46" s="76"/>
      <c r="I46" s="76"/>
    </row>
    <row r="47" spans="1:9" s="88" customFormat="1" ht="16.5" customHeight="1" x14ac:dyDescent="0.2">
      <c r="A47" s="88">
        <f>A3</f>
        <v>0</v>
      </c>
      <c r="B47" s="75"/>
      <c r="C47" s="75"/>
      <c r="D47" s="75"/>
      <c r="E47" s="75"/>
      <c r="F47" s="75"/>
      <c r="G47" s="75"/>
      <c r="H47" s="75"/>
      <c r="I47" s="75"/>
    </row>
    <row r="49" spans="1:22" s="76" customFormat="1" x14ac:dyDescent="0.2">
      <c r="A49" s="88" t="s">
        <v>23</v>
      </c>
      <c r="B49" s="75"/>
      <c r="C49" s="75"/>
      <c r="D49" s="75"/>
      <c r="E49" s="75"/>
      <c r="F49" s="75"/>
      <c r="G49" s="75"/>
      <c r="H49" s="75"/>
      <c r="I49" s="75"/>
    </row>
    <row r="50" spans="1:22" ht="12.75" customHeight="1" x14ac:dyDescent="0.2">
      <c r="A50" s="102"/>
      <c r="B50" s="102"/>
      <c r="C50" s="102"/>
      <c r="D50" s="102"/>
      <c r="E50" s="102"/>
      <c r="F50" s="102"/>
      <c r="G50" s="102"/>
      <c r="H50" s="102"/>
    </row>
    <row r="51" spans="1:22" x14ac:dyDescent="0.2">
      <c r="A51" s="83" t="s">
        <v>86</v>
      </c>
    </row>
    <row r="52" spans="1:22" x14ac:dyDescent="0.2">
      <c r="A52" s="83"/>
    </row>
    <row r="53" spans="1:22" ht="18" customHeight="1" x14ac:dyDescent="0.2">
      <c r="A53" s="83"/>
      <c r="B53" s="75" t="s">
        <v>98</v>
      </c>
    </row>
    <row r="55" spans="1:22" ht="24" x14ac:dyDescent="0.2">
      <c r="B55" s="89" t="s">
        <v>13</v>
      </c>
      <c r="C55" s="90" t="s">
        <v>87</v>
      </c>
      <c r="D55" s="90" t="s">
        <v>88</v>
      </c>
      <c r="E55" s="90" t="s">
        <v>22</v>
      </c>
      <c r="F55" s="90" t="s">
        <v>32</v>
      </c>
      <c r="H55" s="90"/>
    </row>
    <row r="56" spans="1:22" x14ac:dyDescent="0.2">
      <c r="B56" s="90">
        <v>2</v>
      </c>
      <c r="C56" s="86">
        <f>F35</f>
        <v>3.6</v>
      </c>
      <c r="D56" s="86">
        <f>$E$43</f>
        <v>3.8025249670246843</v>
      </c>
      <c r="E56" s="90" t="s">
        <v>22</v>
      </c>
      <c r="F56" s="91">
        <f>((C56-0.2*D56)^2)/(C56+0.8*D56)</f>
        <v>1.21389756798402</v>
      </c>
      <c r="G56" s="75" t="s">
        <v>85</v>
      </c>
      <c r="H56" s="82"/>
    </row>
    <row r="57" spans="1:22" ht="14.25" customHeight="1" x14ac:dyDescent="0.2">
      <c r="B57" s="90">
        <v>10</v>
      </c>
      <c r="C57" s="86">
        <f>F36</f>
        <v>5.3</v>
      </c>
      <c r="D57" s="86">
        <f>$E$43</f>
        <v>3.8025249670246843</v>
      </c>
      <c r="E57" s="90" t="s">
        <v>22</v>
      </c>
      <c r="F57" s="91">
        <f>((C57-0.2*D57)^2)/(C57+0.8*D57)</f>
        <v>2.4702667915046681</v>
      </c>
      <c r="G57" s="75" t="s">
        <v>85</v>
      </c>
      <c r="H57" s="82"/>
    </row>
    <row r="58" spans="1:22" x14ac:dyDescent="0.2">
      <c r="B58" s="90">
        <v>25</v>
      </c>
      <c r="C58" s="86">
        <f>F37</f>
        <v>6.4</v>
      </c>
      <c r="D58" s="86">
        <f>$E$43</f>
        <v>3.8025249670246843</v>
      </c>
      <c r="E58" s="90" t="s">
        <v>22</v>
      </c>
      <c r="F58" s="91">
        <f>(C58-0.2*D58)^2/(C58+0.8*D58)</f>
        <v>3.3683368620558127</v>
      </c>
      <c r="G58" s="75" t="s">
        <v>85</v>
      </c>
      <c r="H58" s="82"/>
    </row>
    <row r="59" spans="1:22" x14ac:dyDescent="0.2">
      <c r="B59" s="90">
        <v>50</v>
      </c>
      <c r="C59" s="86">
        <f>F38</f>
        <v>7.3</v>
      </c>
      <c r="D59" s="86">
        <f>$E$43</f>
        <v>3.8025249670246843</v>
      </c>
      <c r="E59" s="90" t="s">
        <v>22</v>
      </c>
      <c r="F59" s="91">
        <f>(C59-0.2*D59)^2/(C59+0.8*D59)</f>
        <v>4.1350717800164771</v>
      </c>
      <c r="G59" s="75" t="s">
        <v>85</v>
      </c>
      <c r="H59" s="82"/>
    </row>
    <row r="60" spans="1:22" x14ac:dyDescent="0.2">
      <c r="B60" s="90">
        <v>100</v>
      </c>
      <c r="C60" s="86">
        <f>F39</f>
        <v>8.3000000000000007</v>
      </c>
      <c r="D60" s="86">
        <f>$E$43</f>
        <v>3.8025249670246843</v>
      </c>
      <c r="E60" s="90" t="s">
        <v>22</v>
      </c>
      <c r="F60" s="91">
        <f>(C60-0.2*D60)^2/(C60+0.8*D60)</f>
        <v>5.0118043423203762</v>
      </c>
      <c r="G60" s="75" t="s">
        <v>85</v>
      </c>
      <c r="H60" s="82"/>
    </row>
    <row r="62" spans="1:22" ht="12" customHeight="1" x14ac:dyDescent="0.25">
      <c r="A62" s="80" t="s">
        <v>130</v>
      </c>
    </row>
    <row r="63" spans="1:22" ht="12" customHeight="1" x14ac:dyDescent="0.2">
      <c r="A63" s="112" t="s">
        <v>133</v>
      </c>
      <c r="B63" s="92"/>
      <c r="C63" s="92"/>
      <c r="D63" s="92"/>
      <c r="E63" s="92"/>
      <c r="F63" s="92"/>
      <c r="G63" s="92"/>
      <c r="H63" s="92"/>
      <c r="I63" s="92"/>
    </row>
    <row r="64" spans="1:22" x14ac:dyDescent="0.2">
      <c r="A64" s="92"/>
      <c r="B64" s="92"/>
      <c r="C64" s="92"/>
      <c r="D64" s="92"/>
      <c r="E64" s="92"/>
      <c r="F64" s="92"/>
      <c r="G64" s="92"/>
      <c r="H64" s="92"/>
      <c r="I64" s="92"/>
      <c r="K64" s="187" t="s">
        <v>126</v>
      </c>
      <c r="L64" s="187"/>
      <c r="M64" s="187"/>
      <c r="N64" s="187" t="s">
        <v>127</v>
      </c>
      <c r="O64" s="187"/>
      <c r="P64" s="187"/>
      <c r="Q64" s="187" t="s">
        <v>128</v>
      </c>
      <c r="R64" s="187"/>
      <c r="S64" s="187"/>
      <c r="T64" s="187" t="s">
        <v>129</v>
      </c>
      <c r="U64" s="187"/>
      <c r="V64" s="187"/>
    </row>
    <row r="65" spans="1:22" ht="24.75" x14ac:dyDescent="0.25">
      <c r="B65" s="89" t="s">
        <v>13</v>
      </c>
      <c r="C65" s="90" t="s">
        <v>87</v>
      </c>
      <c r="D65" s="90" t="s">
        <v>99</v>
      </c>
      <c r="E65" s="89" t="s">
        <v>100</v>
      </c>
      <c r="F65" s="90" t="s">
        <v>101</v>
      </c>
      <c r="H65" s="90"/>
      <c r="K65" s="93" t="s">
        <v>119</v>
      </c>
      <c r="L65" s="93" t="s">
        <v>120</v>
      </c>
      <c r="M65" s="93" t="s">
        <v>121</v>
      </c>
      <c r="N65" s="93" t="s">
        <v>119</v>
      </c>
      <c r="O65" s="93" t="s">
        <v>120</v>
      </c>
      <c r="P65" s="93" t="s">
        <v>121</v>
      </c>
      <c r="Q65" s="93" t="s">
        <v>119</v>
      </c>
      <c r="R65" s="93" t="s">
        <v>120</v>
      </c>
      <c r="S65" s="93" t="s">
        <v>121</v>
      </c>
      <c r="T65" s="93" t="s">
        <v>119</v>
      </c>
      <c r="U65" s="93" t="s">
        <v>120</v>
      </c>
      <c r="V65" s="93" t="s">
        <v>121</v>
      </c>
    </row>
    <row r="66" spans="1:22" ht="12.75" x14ac:dyDescent="0.2">
      <c r="A66" s="76"/>
      <c r="B66" s="90">
        <v>2</v>
      </c>
      <c r="C66" s="86">
        <f>F35</f>
        <v>3.6</v>
      </c>
      <c r="D66" s="86">
        <f>$E$45</f>
        <v>0.76050499340493694</v>
      </c>
      <c r="E66" s="86">
        <f>IF(D66/C66&gt;0.5,0.5,D66/C66)</f>
        <v>0.21125138705692692</v>
      </c>
      <c r="F66" s="91">
        <f>IF($A$63='Rainfall Distribution Coef.'!$K$2,10^(K66+(L66*LOG($E$28))+(M66*(LOG($E$28))^2)),IF($A$63='Rainfall Distribution Coef.'!$K$3,10^(N66+(O66*LOG($E$28))+(P66*(LOG($E$28))^2)),IF($A$63='Rainfall Distribution Coef.'!$K$4,10^(Q66+(R66*LOG($E$28))+(S66*(LOG($E$28))^2)),IF($A$63='Rainfall Distribution Coef.'!$K$5,10^(T66+(U66*LOG($E$28))+(V66*(LOG($E$28))^2)),"UPDATE"))))</f>
        <v>361.13606576370285</v>
      </c>
      <c r="G66" s="75" t="s">
        <v>89</v>
      </c>
      <c r="H66" s="82"/>
      <c r="K66" s="94">
        <f>(IF('Rainfall Distribution Coef.'!$B$7&gt;$E66,'Rainfall Distribution Coef.'!C$7,IF(AND($E66&gt;'Rainfall Distribution Coef.'!$B$7,$E66&lt;'Rainfall Distribution Coef.'!$B$8),'Rainfall Distribution Coef.'!C$7+('Rainfall Distribution Coef.'!C$8-'Rainfall Distribution Coef.'!C$7)*(($E66-'Rainfall Distribution Coef.'!$B$7)/('Rainfall Distribution Coef.'!$B$8-'Rainfall Distribution Coef.'!$B$7)),IF(AND($E66&gt;'Rainfall Distribution Coef.'!$B$8,$E66&lt;'Rainfall Distribution Coef.'!$B$9),'Rainfall Distribution Coef.'!C$8+('Rainfall Distribution Coef.'!C$9-'Rainfall Distribution Coef.'!C$8)*(($E66-'Rainfall Distribution Coef.'!$B$8)/('Rainfall Distribution Coef.'!$B$9-'Rainfall Distribution Coef.'!$B$8)),IF(AND($E66&gt;'Rainfall Distribution Coef.'!$B$9,$E66&lt;'Rainfall Distribution Coef.'!$B$10),'Rainfall Distribution Coef.'!C$9+('Rainfall Distribution Coef.'!C$10-'Rainfall Distribution Coef.'!C$9)*(($E66-'Rainfall Distribution Coef.'!$B$9)/('Rainfall Distribution Coef.'!$B$10-'Rainfall Distribution Coef.'!$B$9)),IF(AND($E66&gt;'Rainfall Distribution Coef.'!$B$10,$E66&lt;'Rainfall Distribution Coef.'!$B$11),'Rainfall Distribution Coef.'!C$10+('Rainfall Distribution Coef.'!C$11-'Rainfall Distribution Coef.'!C$10)*(($E66-'Rainfall Distribution Coef.'!$B$10)/('Rainfall Distribution Coef.'!$B$11-'Rainfall Distribution Coef.'!$B$10)),IF(AND($E66&gt;'Rainfall Distribution Coef.'!$B$11,$E66&lt;'Rainfall Distribution Coef.'!$B$12),'Rainfall Distribution Coef.'!C$11+('Rainfall Distribution Coef.'!C$12-'Rainfall Distribution Coef.'!C$11)*(($E66-'Rainfall Distribution Coef.'!$B$11)/('Rainfall Distribution Coef.'!$B$12-'Rainfall Distribution Coef.'!$B$11)),IF(AND($E66&gt;'Rainfall Distribution Coef.'!$B$12,$E66&lt;'Rainfall Distribution Coef.'!$B$13),'Rainfall Distribution Coef.'!C$12+('Rainfall Distribution Coef.'!C$13-'Rainfall Distribution Coef.'!C$12)*(($E66-'Rainfall Distribution Coef.'!$B$12)/('Rainfall Distribution Coef.'!$B$13-'Rainfall Distribution Coef.'!$B$12)),0))))))))+IF(AND($E66&gt;'Rainfall Distribution Coef.'!$B$13,$E66&lt;'Rainfall Distribution Coef.'!$B$14),'Rainfall Distribution Coef.'!C$13+('Rainfall Distribution Coef.'!C$14-'Rainfall Distribution Coef.'!C$13)*(($E66-'Rainfall Distribution Coef.'!$B$13)/('Rainfall Distribution Coef.'!$B$14-'Rainfall Distribution Coef.'!$B$13)),IF($E66='Rainfall Distribution Coef.'!$B$14,'Rainfall Distribution Coef.'!C$14,0))</f>
        <v>2.2234030247262524</v>
      </c>
      <c r="L66" s="94">
        <f>(IF('Rainfall Distribution Coef.'!$B$7&gt;$E66,'Rainfall Distribution Coef.'!D$7,IF(AND($E66&gt;'Rainfall Distribution Coef.'!$B$7,$E66&lt;'Rainfall Distribution Coef.'!$B$8),'Rainfall Distribution Coef.'!D$7+('Rainfall Distribution Coef.'!D$8-'Rainfall Distribution Coef.'!D$7)*(($E66-'Rainfall Distribution Coef.'!$B$7)/('Rainfall Distribution Coef.'!$B$8-'Rainfall Distribution Coef.'!$B$7)),IF(AND($E66&gt;'Rainfall Distribution Coef.'!$B$8,$E66&lt;'Rainfall Distribution Coef.'!$B$9),'Rainfall Distribution Coef.'!D$8+('Rainfall Distribution Coef.'!D$9-'Rainfall Distribution Coef.'!D$8)*(($E66-'Rainfall Distribution Coef.'!$B$8)/('Rainfall Distribution Coef.'!$B$9-'Rainfall Distribution Coef.'!$B$8)),IF(AND($E66&gt;'Rainfall Distribution Coef.'!$B$9,$E66&lt;'Rainfall Distribution Coef.'!$B$10),'Rainfall Distribution Coef.'!D$9+('Rainfall Distribution Coef.'!D$10-'Rainfall Distribution Coef.'!D$9)*(($E66-'Rainfall Distribution Coef.'!$B$9)/('Rainfall Distribution Coef.'!$B$10-'Rainfall Distribution Coef.'!$B$9)),IF(AND($E66&gt;'Rainfall Distribution Coef.'!$B$10,$E66&lt;'Rainfall Distribution Coef.'!$B$11),'Rainfall Distribution Coef.'!D$10+('Rainfall Distribution Coef.'!D$11-'Rainfall Distribution Coef.'!D$10)*(($E66-'Rainfall Distribution Coef.'!$B$10)/('Rainfall Distribution Coef.'!$B$11-'Rainfall Distribution Coef.'!$B$10)),IF(AND($E66&gt;'Rainfall Distribution Coef.'!$B$11,$E66&lt;'Rainfall Distribution Coef.'!$B$12),'Rainfall Distribution Coef.'!D$11+('Rainfall Distribution Coef.'!D$12-'Rainfall Distribution Coef.'!D$11)*(($E66-'Rainfall Distribution Coef.'!$B$11)/('Rainfall Distribution Coef.'!$B$12-'Rainfall Distribution Coef.'!$B$11)),IF(AND($E66&gt;'Rainfall Distribution Coef.'!$B$12,$E66&lt;'Rainfall Distribution Coef.'!$B$13),'Rainfall Distribution Coef.'!D$12+('Rainfall Distribution Coef.'!D$13-'Rainfall Distribution Coef.'!D$12)*(($E66-'Rainfall Distribution Coef.'!$B$12)/('Rainfall Distribution Coef.'!$B$13-'Rainfall Distribution Coef.'!$B$12)),0))))))))+IF(AND($E66&gt;'Rainfall Distribution Coef.'!$B$13,$E66&lt;'Rainfall Distribution Coef.'!$B$14),'Rainfall Distribution Coef.'!D$13+('Rainfall Distribution Coef.'!D$14-'Rainfall Distribution Coef.'!D$13)*(($E66-'Rainfall Distribution Coef.'!$B$13)/('Rainfall Distribution Coef.'!$B$14-'Rainfall Distribution Coef.'!$B$13)),IF($E66='Rainfall Distribution Coef.'!$B$14,'Rainfall Distribution Coef.'!D$14,0))</f>
        <v>-0.49959672319577919</v>
      </c>
      <c r="M66" s="94">
        <f>(IF('Rainfall Distribution Coef.'!$B$7&gt;$E66,'Rainfall Distribution Coef.'!E$7,IF(AND($E66&gt;'Rainfall Distribution Coef.'!$B$7,$E66&lt;'Rainfall Distribution Coef.'!$B$8),'Rainfall Distribution Coef.'!E$7+('Rainfall Distribution Coef.'!E$8-'Rainfall Distribution Coef.'!E$7)*(($E66-'Rainfall Distribution Coef.'!$B$7)/('Rainfall Distribution Coef.'!$B$8-'Rainfall Distribution Coef.'!$B$7)),IF(AND($E66&gt;'Rainfall Distribution Coef.'!$B$8,$E66&lt;'Rainfall Distribution Coef.'!$B$9),'Rainfall Distribution Coef.'!E$8+('Rainfall Distribution Coef.'!E$9-'Rainfall Distribution Coef.'!E$8)*(($E66-'Rainfall Distribution Coef.'!$B$8)/('Rainfall Distribution Coef.'!$B$9-'Rainfall Distribution Coef.'!$B$8)),IF(AND($E66&gt;'Rainfall Distribution Coef.'!$B$9,$E66&lt;'Rainfall Distribution Coef.'!$B$10),'Rainfall Distribution Coef.'!E$9+('Rainfall Distribution Coef.'!E$10-'Rainfall Distribution Coef.'!E$9)*(($E66-'Rainfall Distribution Coef.'!$B$9)/('Rainfall Distribution Coef.'!$B$10-'Rainfall Distribution Coef.'!$B$9)),IF(AND($E66&gt;'Rainfall Distribution Coef.'!$B$10,$E66&lt;'Rainfall Distribution Coef.'!$B$11),'Rainfall Distribution Coef.'!E$10+('Rainfall Distribution Coef.'!E$11-'Rainfall Distribution Coef.'!E$10)*(($E66-'Rainfall Distribution Coef.'!$B$10)/('Rainfall Distribution Coef.'!$B$11-'Rainfall Distribution Coef.'!$B$10)),IF(AND($E66&gt;'Rainfall Distribution Coef.'!$B$11,$E66&lt;'Rainfall Distribution Coef.'!$B$12),'Rainfall Distribution Coef.'!E$11+('Rainfall Distribution Coef.'!E$12-'Rainfall Distribution Coef.'!E$11)*(($E66-'Rainfall Distribution Coef.'!$B$11)/('Rainfall Distribution Coef.'!$B$12-'Rainfall Distribution Coef.'!$B$11)),IF(AND($E66&gt;'Rainfall Distribution Coef.'!$B$12,$E66&lt;'Rainfall Distribution Coef.'!$B$13),'Rainfall Distribution Coef.'!E$12+('Rainfall Distribution Coef.'!E$13-'Rainfall Distribution Coef.'!E$12)*(($E66-'Rainfall Distribution Coef.'!$B$12)/('Rainfall Distribution Coef.'!$B$13-'Rainfall Distribution Coef.'!$B$12)),0))))))))+IF(AND($E66&gt;'Rainfall Distribution Coef.'!$B$13,$E66&lt;'Rainfall Distribution Coef.'!$B$14),'Rainfall Distribution Coef.'!E$13+('Rainfall Distribution Coef.'!E$14-'Rainfall Distribution Coef.'!E$13)*(($E66-'Rainfall Distribution Coef.'!$B$13)/('Rainfall Distribution Coef.'!$B$14-'Rainfall Distribution Coef.'!$B$13)),IF($E66='Rainfall Distribution Coef.'!$B$14,'Rainfall Distribution Coef.'!E$14,0))</f>
        <v>-8.4024350857358196E-2</v>
      </c>
      <c r="N66" s="94">
        <f>(IF('Rainfall Distribution Coef.'!$B$16&gt;$E66,'Rainfall Distribution Coef.'!C$16,IF(AND($E66&gt;'Rainfall Distribution Coef.'!$B$16,$E66&lt;'Rainfall Distribution Coef.'!$B$17),'Rainfall Distribution Coef.'!C$16+('Rainfall Distribution Coef.'!C$17-'Rainfall Distribution Coef.'!C$16)*(($E66-'Rainfall Distribution Coef.'!$B$16)/('Rainfall Distribution Coef.'!$B$17-'Rainfall Distribution Coef.'!$B$16)),IF(AND($E66&gt;'Rainfall Distribution Coef.'!$B$17,$E66&lt;'Rainfall Distribution Coef.'!$B$18),'Rainfall Distribution Coef.'!C$17+('Rainfall Distribution Coef.'!C$18-'Rainfall Distribution Coef.'!C$17)*(($E66-'Rainfall Distribution Coef.'!$B$17)/('Rainfall Distribution Coef.'!$B$18-'Rainfall Distribution Coef.'!$B$17)),IF(AND($E66&gt;'Rainfall Distribution Coef.'!$B$18,$E66&lt;'Rainfall Distribution Coef.'!$B$19),'Rainfall Distribution Coef.'!C$18+('Rainfall Distribution Coef.'!C$19-'Rainfall Distribution Coef.'!C$18)*(($E66-'Rainfall Distribution Coef.'!$B$18)/('Rainfall Distribution Coef.'!$B$19-'Rainfall Distribution Coef.'!$B$18)),IF(AND($E66&gt;'Rainfall Distribution Coef.'!$B$19,$E66&lt;'Rainfall Distribution Coef.'!$B$20),'Rainfall Distribution Coef.'!C$19+('Rainfall Distribution Coef.'!C$20-'Rainfall Distribution Coef.'!C$19)*(($E66-'Rainfall Distribution Coef.'!$B$19)/('Rainfall Distribution Coef.'!$B$20-'Rainfall Distribution Coef.'!$B$19)),IF($E66='Rainfall Distribution Coef.'!$B$20,'Rainfall Distribution Coef.'!C$20,0)))))))</f>
        <v>1.9014717429809687</v>
      </c>
      <c r="O66" s="94">
        <f>(IF('Rainfall Distribution Coef.'!$B$16&gt;$E66,'Rainfall Distribution Coef.'!D$16,IF(AND($E66&gt;'Rainfall Distribution Coef.'!$B$16,$E66&lt;'Rainfall Distribution Coef.'!$B$17),'Rainfall Distribution Coef.'!D$16+('Rainfall Distribution Coef.'!D$17-'Rainfall Distribution Coef.'!D$16)*(($E66-'Rainfall Distribution Coef.'!$B$16)/('Rainfall Distribution Coef.'!$B$17-'Rainfall Distribution Coef.'!$B$16)),IF(AND($E66&gt;'Rainfall Distribution Coef.'!$B$17,$E66&lt;'Rainfall Distribution Coef.'!$B$18),'Rainfall Distribution Coef.'!D$17+('Rainfall Distribution Coef.'!D$18-'Rainfall Distribution Coef.'!D$17)*(($E66-'Rainfall Distribution Coef.'!$B$17)/('Rainfall Distribution Coef.'!$B$18-'Rainfall Distribution Coef.'!$B$17)),IF(AND($E66&gt;'Rainfall Distribution Coef.'!$B$18,$E66&lt;'Rainfall Distribution Coef.'!$B$19),'Rainfall Distribution Coef.'!D$18+('Rainfall Distribution Coef.'!D$19-'Rainfall Distribution Coef.'!D$18)*(($E66-'Rainfall Distribution Coef.'!$B$18)/('Rainfall Distribution Coef.'!$B$19-'Rainfall Distribution Coef.'!$B$18)),IF(AND($E66&gt;'Rainfall Distribution Coef.'!$B$19,$E66&lt;'Rainfall Distribution Coef.'!$B$20),'Rainfall Distribution Coef.'!D$19+('Rainfall Distribution Coef.'!D$20-'Rainfall Distribution Coef.'!D$19)*(($E66-'Rainfall Distribution Coef.'!$B$19)/('Rainfall Distribution Coef.'!$B$20-'Rainfall Distribution Coef.'!$B$19)),IF($E66='Rainfall Distribution Coef.'!$B$20,'Rainfall Distribution Coef.'!D$20,0)))))))</f>
        <v>-0.27613725875677825</v>
      </c>
      <c r="P66" s="94">
        <f>(IF('Rainfall Distribution Coef.'!$B$16&gt;$E66,'Rainfall Distribution Coef.'!E$16,IF(AND($E66&gt;'Rainfall Distribution Coef.'!$B$16,$E66&lt;'Rainfall Distribution Coef.'!$B$17),'Rainfall Distribution Coef.'!E$16+('Rainfall Distribution Coef.'!E$17-'Rainfall Distribution Coef.'!E$16)*(($E66-'Rainfall Distribution Coef.'!$B$16)/('Rainfall Distribution Coef.'!$B$17-'Rainfall Distribution Coef.'!$B$16)),IF(AND($E66&gt;'Rainfall Distribution Coef.'!$B$17,$E66&lt;'Rainfall Distribution Coef.'!$B$18),'Rainfall Distribution Coef.'!E$17+('Rainfall Distribution Coef.'!E$18-'Rainfall Distribution Coef.'!E$17)*(($E66-'Rainfall Distribution Coef.'!$B$17)/('Rainfall Distribution Coef.'!$B$18-'Rainfall Distribution Coef.'!$B$17)),IF(AND($E66&gt;'Rainfall Distribution Coef.'!$B$18,$E66&lt;'Rainfall Distribution Coef.'!$B$19),'Rainfall Distribution Coef.'!E$18+('Rainfall Distribution Coef.'!E$19-'Rainfall Distribution Coef.'!E$18)*(($E66-'Rainfall Distribution Coef.'!$B$18)/('Rainfall Distribution Coef.'!$B$19-'Rainfall Distribution Coef.'!$B$18)),IF(AND($E66&gt;'Rainfall Distribution Coef.'!$B$19,$E66&lt;'Rainfall Distribution Coef.'!$B$20),'Rainfall Distribution Coef.'!E$19+('Rainfall Distribution Coef.'!E$20-'Rainfall Distribution Coef.'!E$19)*(($E66-'Rainfall Distribution Coef.'!$B$19)/('Rainfall Distribution Coef.'!$B$20-'Rainfall Distribution Coef.'!$B$19)),IF($E66='Rainfall Distribution Coef.'!$B$20,'Rainfall Distribution Coef.'!E$20,0)))))))</f>
        <v>-6.0247023009442451E-2</v>
      </c>
      <c r="Q66" s="95">
        <f>(IF('Rainfall Distribution Coef.'!$B$22&gt;$E66,'Rainfall Distribution Coef.'!C$22,IF(AND($E66&gt;'Rainfall Distribution Coef.'!$B$22,$E66&lt;'Rainfall Distribution Coef.'!$B$23),'Rainfall Distribution Coef.'!C$22+('Rainfall Distribution Coef.'!C$23-'Rainfall Distribution Coef.'!C$22)*(($E66-'Rainfall Distribution Coef.'!$B$22)/('Rainfall Distribution Coef.'!$B$23-'Rainfall Distribution Coef.'!$B$22)),IF(AND($E66&gt;'Rainfall Distribution Coef.'!$B$23,$E66&lt;'Rainfall Distribution Coef.'!$B$24),'Rainfall Distribution Coef.'!C$23+('Rainfall Distribution Coef.'!C$24-'Rainfall Distribution Coef.'!C$23)*(($E66-'Rainfall Distribution Coef.'!$B$23)/('Rainfall Distribution Coef.'!$B$24-'Rainfall Distribution Coef.'!$B$23)),IF(AND($E66&gt;'Rainfall Distribution Coef.'!$B$24,$E66&lt;'Rainfall Distribution Coef.'!$B$25),'Rainfall Distribution Coef.'!C$24+('Rainfall Distribution Coef.'!C$25-'Rainfall Distribution Coef.'!C$24)*(($E66-'Rainfall Distribution Coef.'!$B$24)/('Rainfall Distribution Coef.'!$B$25-'Rainfall Distribution Coef.'!$B$24)),IF(AND($E66&gt;'Rainfall Distribution Coef.'!$B$25,$E66&lt;'Rainfall Distribution Coef.'!$B$26),'Rainfall Distribution Coef.'!C$25+('Rainfall Distribution Coef.'!C$26-'Rainfall Distribution Coef.'!C$25)*(($E66-'Rainfall Distribution Coef.'!$B$25)/('Rainfall Distribution Coef.'!$B$26-'Rainfall Distribution Coef.'!$B$25)),IF(AND($E66&gt;'Rainfall Distribution Coef.'!$B$26,$E66&lt;'Rainfall Distribution Coef.'!$B$27),'Rainfall Distribution Coef.'!C$26+('Rainfall Distribution Coef.'!C$27-'Rainfall Distribution Coef.'!C$26)*(($E66-'Rainfall Distribution Coef.'!$B$26)/('Rainfall Distribution Coef.'!$B$27-'Rainfall Distribution Coef.'!$B$26)), IF($E66='Rainfall Distribution Coef.'!$B$27,'Rainfall Distribution Coef.'!C$27,0))))))))</f>
        <v>2.5043294528191278</v>
      </c>
      <c r="R66" s="95">
        <f>(IF('Rainfall Distribution Coef.'!$B$22&gt;$E66,'Rainfall Distribution Coef.'!D$22,IF(AND($E66&gt;'Rainfall Distribution Coef.'!$B$22,$E66&lt;'Rainfall Distribution Coef.'!$B$23),'Rainfall Distribution Coef.'!D$22+('Rainfall Distribution Coef.'!D$23-'Rainfall Distribution Coef.'!D$22)*(($E66-'Rainfall Distribution Coef.'!$B$22)/('Rainfall Distribution Coef.'!$B$23-'Rainfall Distribution Coef.'!$B$22)),IF(AND($E66&gt;'Rainfall Distribution Coef.'!$B$23,$E66&lt;'Rainfall Distribution Coef.'!$B$24),'Rainfall Distribution Coef.'!D$23+('Rainfall Distribution Coef.'!D$24-'Rainfall Distribution Coef.'!D$23)*(($E66-'Rainfall Distribution Coef.'!$B$23)/('Rainfall Distribution Coef.'!$B$24-'Rainfall Distribution Coef.'!$B$23)),IF(AND($E66&gt;'Rainfall Distribution Coef.'!$B$24,$E66&lt;'Rainfall Distribution Coef.'!$B$25),'Rainfall Distribution Coef.'!D$24+('Rainfall Distribution Coef.'!D$25-'Rainfall Distribution Coef.'!D$24)*(($E66-'Rainfall Distribution Coef.'!$B$24)/('Rainfall Distribution Coef.'!$B$25-'Rainfall Distribution Coef.'!$B$24)),IF(AND($E66&gt;'Rainfall Distribution Coef.'!$B$25,$E66&lt;'Rainfall Distribution Coef.'!$B$26),'Rainfall Distribution Coef.'!D$25+('Rainfall Distribution Coef.'!D$26-'Rainfall Distribution Coef.'!D$25)*(($E66-'Rainfall Distribution Coef.'!$B$25)/('Rainfall Distribution Coef.'!$B$26-'Rainfall Distribution Coef.'!$B$25)),IF(AND($E66&gt;'Rainfall Distribution Coef.'!$B$26,$E66&lt;'Rainfall Distribution Coef.'!$B$27),'Rainfall Distribution Coef.'!D$26+('Rainfall Distribution Coef.'!D$27-'Rainfall Distribution Coef.'!D$26)*(($E66-'Rainfall Distribution Coef.'!$B$26)/('Rainfall Distribution Coef.'!$B$27-'Rainfall Distribution Coef.'!$B$26)), IF($E66='Rainfall Distribution Coef.'!$B$27,'Rainfall Distribution Coef.'!D$27,0))))))))</f>
        <v>-0.61926411416787053</v>
      </c>
      <c r="S66" s="95">
        <f>(IF('Rainfall Distribution Coef.'!$B$22&gt;$E66,'Rainfall Distribution Coef.'!E$22,IF(AND($E66&gt;'Rainfall Distribution Coef.'!$B$22,$E66&lt;'Rainfall Distribution Coef.'!$B$23),'Rainfall Distribution Coef.'!E$22+('Rainfall Distribution Coef.'!E$23-'Rainfall Distribution Coef.'!E$22)*(($E66-'Rainfall Distribution Coef.'!$B$22)/('Rainfall Distribution Coef.'!$B$23-'Rainfall Distribution Coef.'!$B$22)),IF(AND($E66&gt;'Rainfall Distribution Coef.'!$B$23,$E66&lt;'Rainfall Distribution Coef.'!$B$24),'Rainfall Distribution Coef.'!E$23+('Rainfall Distribution Coef.'!E$24-'Rainfall Distribution Coef.'!E$23)*(($E66-'Rainfall Distribution Coef.'!$B$23)/('Rainfall Distribution Coef.'!$B$24-'Rainfall Distribution Coef.'!$B$23)),IF(AND($E66&gt;'Rainfall Distribution Coef.'!$B$24,$E66&lt;'Rainfall Distribution Coef.'!$B$25),'Rainfall Distribution Coef.'!E$24+('Rainfall Distribution Coef.'!E$25-'Rainfall Distribution Coef.'!E$24)*(($E66-'Rainfall Distribution Coef.'!$B$24)/('Rainfall Distribution Coef.'!$B$25-'Rainfall Distribution Coef.'!$B$24)),IF(AND($E66&gt;'Rainfall Distribution Coef.'!$B$25,$E66&lt;'Rainfall Distribution Coef.'!$B$26),'Rainfall Distribution Coef.'!E$25+('Rainfall Distribution Coef.'!E$26-'Rainfall Distribution Coef.'!E$25)*(($E66-'Rainfall Distribution Coef.'!$B$25)/('Rainfall Distribution Coef.'!$B$26-'Rainfall Distribution Coef.'!$B$25)),IF(AND($E66&gt;'Rainfall Distribution Coef.'!$B$26,$E66&lt;'Rainfall Distribution Coef.'!$B$27),'Rainfall Distribution Coef.'!E$26+('Rainfall Distribution Coef.'!E$27-'Rainfall Distribution Coef.'!E$26)*(($E66-'Rainfall Distribution Coef.'!$B$26)/('Rainfall Distribution Coef.'!$B$27-'Rainfall Distribution Coef.'!$B$26)), IF($E66='Rainfall Distribution Coef.'!$B$27,'Rainfall Distribution Coef.'!E$27,0))))))))</f>
        <v>-0.13763004585139124</v>
      </c>
      <c r="T66" s="95">
        <f>(IF('Rainfall Distribution Coef.'!$B$29&gt;$E66,'Rainfall Distribution Coef.'!C$29,IF(AND($E66&gt;'Rainfall Distribution Coef.'!$B$29,$E66&lt;'Rainfall Distribution Coef.'!$B$30),'Rainfall Distribution Coef.'!C$29+('Rainfall Distribution Coef.'!C$30-'Rainfall Distribution Coef.'!C$29)*(($E66-'Rainfall Distribution Coef.'!$B$29)/('Rainfall Distribution Coef.'!$B$30-'Rainfall Distribution Coef.'!$B$29)),IF(AND($E66&gt;'Rainfall Distribution Coef.'!$B$30,$E66&lt;'Rainfall Distribution Coef.'!$B$31),'Rainfall Distribution Coef.'!C$30+('Rainfall Distribution Coef.'!C$31-'Rainfall Distribution Coef.'!C$30)*(($E66-'Rainfall Distribution Coef.'!$B$30)/('Rainfall Distribution Coef.'!$B$31-'Rainfall Distribution Coef.'!$B$30)),IF(AND($E66&gt;'Rainfall Distribution Coef.'!$B$31,$E66&lt;'Rainfall Distribution Coef.'!$B$32),'Rainfall Distribution Coef.'!C$31+('Rainfall Distribution Coef.'!C$32-'Rainfall Distribution Coef.'!C$31)*(($E66-'Rainfall Distribution Coef.'!$B$31)/('Rainfall Distribution Coef.'!$B$32-'Rainfall Distribution Coef.'!$B$31)),IF(AND($E66&gt;'Rainfall Distribution Coef.'!$B$32,$E66&lt;'Rainfall Distribution Coef.'!$B$33),'Rainfall Distribution Coef.'!C$32+('Rainfall Distribution Coef.'!C$33-'Rainfall Distribution Coef.'!C$32)*(($E66-'Rainfall Distribution Coef.'!$B$32)/('Rainfall Distribution Coef.'!$B$33-'Rainfall Distribution Coef.'!$B$32)),IF(AND($E66&gt;'Rainfall Distribution Coef.'!$B$33,$E66&lt;'Rainfall Distribution Coef.'!$B$34),'Rainfall Distribution Coef.'!C$33+('Rainfall Distribution Coef.'!C$34-'Rainfall Distribution Coef.'!C$33)*(($E66-'Rainfall Distribution Coef.'!$B$33)/('Rainfall Distribution Coef.'!$B$34-'Rainfall Distribution Coef.'!$B$33)), IF($E66='Rainfall Distribution Coef.'!$B$34,'Rainfall Distribution Coef.'!C$34,0))))))))</f>
        <v>2.4303994042459647</v>
      </c>
      <c r="U66" s="95">
        <f>(IF('Rainfall Distribution Coef.'!$B$29&gt;$E66,'Rainfall Distribution Coef.'!D$29,IF(AND($E66&gt;'Rainfall Distribution Coef.'!$B$29,$E66&lt;'Rainfall Distribution Coef.'!$B$30),'Rainfall Distribution Coef.'!D$29+('Rainfall Distribution Coef.'!D$30-'Rainfall Distribution Coef.'!D$29)*(($E66-'Rainfall Distribution Coef.'!$B$29)/('Rainfall Distribution Coef.'!$B$30-'Rainfall Distribution Coef.'!$B$29)),IF(AND($E66&gt;'Rainfall Distribution Coef.'!$B$30,$E66&lt;'Rainfall Distribution Coef.'!$B$31),'Rainfall Distribution Coef.'!D$30+('Rainfall Distribution Coef.'!D$31-'Rainfall Distribution Coef.'!D$30)*(($E66-'Rainfall Distribution Coef.'!$B$30)/('Rainfall Distribution Coef.'!$B$31-'Rainfall Distribution Coef.'!$B$30)),IF(AND($E66&gt;'Rainfall Distribution Coef.'!$B$31,$E66&lt;'Rainfall Distribution Coef.'!$B$32),'Rainfall Distribution Coef.'!D$31+('Rainfall Distribution Coef.'!D$32-'Rainfall Distribution Coef.'!D$31)*(($E66-'Rainfall Distribution Coef.'!$B$31)/('Rainfall Distribution Coef.'!$B$32-'Rainfall Distribution Coef.'!$B$31)),IF(AND($E66&gt;'Rainfall Distribution Coef.'!$B$32,$E66&lt;'Rainfall Distribution Coef.'!$B$33),'Rainfall Distribution Coef.'!D$32+('Rainfall Distribution Coef.'!D$33-'Rainfall Distribution Coef.'!D$32)*(($E66-'Rainfall Distribution Coef.'!$B$32)/('Rainfall Distribution Coef.'!$B$33-'Rainfall Distribution Coef.'!$B$32)),IF(AND($E66&gt;'Rainfall Distribution Coef.'!$B$33,$E66&lt;'Rainfall Distribution Coef.'!$B$34),'Rainfall Distribution Coef.'!D$33+('Rainfall Distribution Coef.'!D$34-'Rainfall Distribution Coef.'!D$33)*(($E66-'Rainfall Distribution Coef.'!$B$33)/('Rainfall Distribution Coef.'!$B$34-'Rainfall Distribution Coef.'!$B$33)), IF($E66='Rainfall Distribution Coef.'!$B$34,'Rainfall Distribution Coef.'!D$34,0))))))))</f>
        <v>-0.51488658019806133</v>
      </c>
      <c r="V66" s="95">
        <f>(IF('Rainfall Distribution Coef.'!$B$29&gt;$E66,'Rainfall Distribution Coef.'!E$29,IF(AND($E66&gt;'Rainfall Distribution Coef.'!$B$29,$E66&lt;'Rainfall Distribution Coef.'!$B$30),'Rainfall Distribution Coef.'!E$29+('Rainfall Distribution Coef.'!E$30-'Rainfall Distribution Coef.'!E$29)*(($E66-'Rainfall Distribution Coef.'!$B$29)/('Rainfall Distribution Coef.'!$B$30-'Rainfall Distribution Coef.'!$B$29)),IF(AND($E66&gt;'Rainfall Distribution Coef.'!$B$30,$E66&lt;'Rainfall Distribution Coef.'!$B$31),'Rainfall Distribution Coef.'!E$30+('Rainfall Distribution Coef.'!E$31-'Rainfall Distribution Coef.'!E$30)*(($E66-'Rainfall Distribution Coef.'!$B$30)/('Rainfall Distribution Coef.'!$B$31-'Rainfall Distribution Coef.'!$B$30)),IF(AND($E66&gt;'Rainfall Distribution Coef.'!$B$31,$E66&lt;'Rainfall Distribution Coef.'!$B$32),'Rainfall Distribution Coef.'!E$31+('Rainfall Distribution Coef.'!E$32-'Rainfall Distribution Coef.'!E$31)*(($E66-'Rainfall Distribution Coef.'!$B$31)/('Rainfall Distribution Coef.'!$B$32-'Rainfall Distribution Coef.'!$B$31)),IF(AND($E66&gt;'Rainfall Distribution Coef.'!$B$32,$E66&lt;'Rainfall Distribution Coef.'!$B$33),'Rainfall Distribution Coef.'!E$32+('Rainfall Distribution Coef.'!E$33-'Rainfall Distribution Coef.'!E$32)*(($E66-'Rainfall Distribution Coef.'!$B$32)/('Rainfall Distribution Coef.'!$B$33-'Rainfall Distribution Coef.'!$B$32)),IF(AND($E66&gt;'Rainfall Distribution Coef.'!$B$33,$E66&lt;'Rainfall Distribution Coef.'!$B$34),'Rainfall Distribution Coef.'!E$33+('Rainfall Distribution Coef.'!E$34-'Rainfall Distribution Coef.'!E$33)*(($E66-'Rainfall Distribution Coef.'!$B$33)/('Rainfall Distribution Coef.'!$B$34-'Rainfall Distribution Coef.'!$B$33)), IF($E66='Rainfall Distribution Coef.'!$B$34,'Rainfall Distribution Coef.'!E$34,0))))))))</f>
        <v>-0.14948085882377574</v>
      </c>
    </row>
    <row r="67" spans="1:22" ht="12.75" x14ac:dyDescent="0.2">
      <c r="B67" s="90">
        <v>10</v>
      </c>
      <c r="C67" s="86">
        <f>F36</f>
        <v>5.3</v>
      </c>
      <c r="D67" s="86">
        <f>$E$45</f>
        <v>0.76050499340493694</v>
      </c>
      <c r="E67" s="86">
        <f>IF(D67/C67&gt;0.5,0.5,D67/C67)</f>
        <v>0.14349150818961073</v>
      </c>
      <c r="F67" s="91">
        <f>IF($A$63='Rainfall Distribution Coef.'!$K$2,10^(K67+(L67*LOG($E$28))+(M67*(LOG($E$28))^2)),IF($A$63='Rainfall Distribution Coef.'!$K$3,10^(N67+(O67*LOG($E$28))+(P67*(LOG($E$28))^2)),IF($A$63='Rainfall Distribution Coef.'!$K$4,10^(Q67+(R67*LOG($E$28))+(S67*(LOG($E$28))^2)),IF($A$63='Rainfall Distribution Coef.'!$K$5,10^(T67+(U67*LOG($E$28))+(V67*(LOG($E$28))^2)),"UPDATE"))))</f>
        <v>386.46384728731732</v>
      </c>
      <c r="G67" s="75" t="s">
        <v>89</v>
      </c>
      <c r="H67" s="82"/>
      <c r="K67" s="94">
        <f>(IF('Rainfall Distribution Coef.'!$B$7&gt;$E67,'Rainfall Distribution Coef.'!C$7,IF(AND($E67&gt;'Rainfall Distribution Coef.'!$B$7,$E67&lt;'Rainfall Distribution Coef.'!$B$8),'Rainfall Distribution Coef.'!C$7+('Rainfall Distribution Coef.'!C$8-'Rainfall Distribution Coef.'!C$7)*(($E67-'Rainfall Distribution Coef.'!$B$7)/('Rainfall Distribution Coef.'!$B$8-'Rainfall Distribution Coef.'!$B$7)),IF(AND($E67&gt;'Rainfall Distribution Coef.'!$B$8,$E67&lt;'Rainfall Distribution Coef.'!$B$9),'Rainfall Distribution Coef.'!C$8+('Rainfall Distribution Coef.'!C$9-'Rainfall Distribution Coef.'!C$8)*(($E67-'Rainfall Distribution Coef.'!$B$8)/('Rainfall Distribution Coef.'!$B$9-'Rainfall Distribution Coef.'!$B$8)),IF(AND($E67&gt;'Rainfall Distribution Coef.'!$B$9,$E67&lt;'Rainfall Distribution Coef.'!$B$10),'Rainfall Distribution Coef.'!C$9+('Rainfall Distribution Coef.'!C$10-'Rainfall Distribution Coef.'!C$9)*(($E67-'Rainfall Distribution Coef.'!$B$9)/('Rainfall Distribution Coef.'!$B$10-'Rainfall Distribution Coef.'!$B$9)),IF(AND($E67&gt;'Rainfall Distribution Coef.'!$B$10,$E67&lt;'Rainfall Distribution Coef.'!$B$11),'Rainfall Distribution Coef.'!C$10+('Rainfall Distribution Coef.'!C$11-'Rainfall Distribution Coef.'!C$10)*(($E67-'Rainfall Distribution Coef.'!$B$10)/('Rainfall Distribution Coef.'!$B$11-'Rainfall Distribution Coef.'!$B$10)),IF(AND($E67&gt;'Rainfall Distribution Coef.'!$B$11,$E67&lt;'Rainfall Distribution Coef.'!$B$12),'Rainfall Distribution Coef.'!C$11+('Rainfall Distribution Coef.'!C$12-'Rainfall Distribution Coef.'!C$11)*(($E67-'Rainfall Distribution Coef.'!$B$11)/('Rainfall Distribution Coef.'!$B$12-'Rainfall Distribution Coef.'!$B$11)),IF(AND($E67&gt;'Rainfall Distribution Coef.'!$B$12,$E67&lt;'Rainfall Distribution Coef.'!$B$13),'Rainfall Distribution Coef.'!C$12+('Rainfall Distribution Coef.'!C$13-'Rainfall Distribution Coef.'!C$12)*(($E67-'Rainfall Distribution Coef.'!$B$12)/('Rainfall Distribution Coef.'!$B$13-'Rainfall Distribution Coef.'!$B$12)),0))))))))+IF(AND($E67&gt;'Rainfall Distribution Coef.'!$B$13,$E67&lt;'Rainfall Distribution Coef.'!$B$14),'Rainfall Distribution Coef.'!C$13+('Rainfall Distribution Coef.'!C$14-'Rainfall Distribution Coef.'!C$13)*(($E67-'Rainfall Distribution Coef.'!$B$13)/('Rainfall Distribution Coef.'!$B$14-'Rainfall Distribution Coef.'!$B$13)),IF($E67='Rainfall Distribution Coef.'!$B$14,'Rainfall Distribution Coef.'!C$14,0))</f>
        <v>2.2749994053066258</v>
      </c>
      <c r="L67" s="94">
        <f>(IF('Rainfall Distribution Coef.'!$B$7&gt;$E67,'Rainfall Distribution Coef.'!D$7,IF(AND($E67&gt;'Rainfall Distribution Coef.'!$B$7,$E67&lt;'Rainfall Distribution Coef.'!$B$8),'Rainfall Distribution Coef.'!D$7+('Rainfall Distribution Coef.'!D$8-'Rainfall Distribution Coef.'!D$7)*(($E67-'Rainfall Distribution Coef.'!$B$7)/('Rainfall Distribution Coef.'!$B$8-'Rainfall Distribution Coef.'!$B$7)),IF(AND($E67&gt;'Rainfall Distribution Coef.'!$B$8,$E67&lt;'Rainfall Distribution Coef.'!$B$9),'Rainfall Distribution Coef.'!D$8+('Rainfall Distribution Coef.'!D$9-'Rainfall Distribution Coef.'!D$8)*(($E67-'Rainfall Distribution Coef.'!$B$8)/('Rainfall Distribution Coef.'!$B$9-'Rainfall Distribution Coef.'!$B$8)),IF(AND($E67&gt;'Rainfall Distribution Coef.'!$B$9,$E67&lt;'Rainfall Distribution Coef.'!$B$10),'Rainfall Distribution Coef.'!D$9+('Rainfall Distribution Coef.'!D$10-'Rainfall Distribution Coef.'!D$9)*(($E67-'Rainfall Distribution Coef.'!$B$9)/('Rainfall Distribution Coef.'!$B$10-'Rainfall Distribution Coef.'!$B$9)),IF(AND($E67&gt;'Rainfall Distribution Coef.'!$B$10,$E67&lt;'Rainfall Distribution Coef.'!$B$11),'Rainfall Distribution Coef.'!D$10+('Rainfall Distribution Coef.'!D$11-'Rainfall Distribution Coef.'!D$10)*(($E67-'Rainfall Distribution Coef.'!$B$10)/('Rainfall Distribution Coef.'!$B$11-'Rainfall Distribution Coef.'!$B$10)),IF(AND($E67&gt;'Rainfall Distribution Coef.'!$B$11,$E67&lt;'Rainfall Distribution Coef.'!$B$12),'Rainfall Distribution Coef.'!D$11+('Rainfall Distribution Coef.'!D$12-'Rainfall Distribution Coef.'!D$11)*(($E67-'Rainfall Distribution Coef.'!$B$11)/('Rainfall Distribution Coef.'!$B$12-'Rainfall Distribution Coef.'!$B$11)),IF(AND($E67&gt;'Rainfall Distribution Coef.'!$B$12,$E67&lt;'Rainfall Distribution Coef.'!$B$13),'Rainfall Distribution Coef.'!D$12+('Rainfall Distribution Coef.'!D$13-'Rainfall Distribution Coef.'!D$12)*(($E67-'Rainfall Distribution Coef.'!$B$12)/('Rainfall Distribution Coef.'!$B$13-'Rainfall Distribution Coef.'!$B$12)),0))))))))+IF(AND($E67&gt;'Rainfall Distribution Coef.'!$B$13,$E67&lt;'Rainfall Distribution Coef.'!$B$14),'Rainfall Distribution Coef.'!D$13+('Rainfall Distribution Coef.'!D$14-'Rainfall Distribution Coef.'!D$13)*(($E67-'Rainfall Distribution Coef.'!$B$13)/('Rainfall Distribution Coef.'!$B$14-'Rainfall Distribution Coef.'!$B$13)),IF($E67='Rainfall Distribution Coef.'!$B$14,'Rainfall Distribution Coef.'!D$14,0))</f>
        <v>-0.50975818484664259</v>
      </c>
      <c r="M67" s="94">
        <f>(IF('Rainfall Distribution Coef.'!$B$7&gt;$E67,'Rainfall Distribution Coef.'!E$7,IF(AND($E67&gt;'Rainfall Distribution Coef.'!$B$7,$E67&lt;'Rainfall Distribution Coef.'!$B$8),'Rainfall Distribution Coef.'!E$7+('Rainfall Distribution Coef.'!E$8-'Rainfall Distribution Coef.'!E$7)*(($E67-'Rainfall Distribution Coef.'!$B$7)/('Rainfall Distribution Coef.'!$B$8-'Rainfall Distribution Coef.'!$B$7)),IF(AND($E67&gt;'Rainfall Distribution Coef.'!$B$8,$E67&lt;'Rainfall Distribution Coef.'!$B$9),'Rainfall Distribution Coef.'!E$8+('Rainfall Distribution Coef.'!E$9-'Rainfall Distribution Coef.'!E$8)*(($E67-'Rainfall Distribution Coef.'!$B$8)/('Rainfall Distribution Coef.'!$B$9-'Rainfall Distribution Coef.'!$B$8)),IF(AND($E67&gt;'Rainfall Distribution Coef.'!$B$9,$E67&lt;'Rainfall Distribution Coef.'!$B$10),'Rainfall Distribution Coef.'!E$9+('Rainfall Distribution Coef.'!E$10-'Rainfall Distribution Coef.'!E$9)*(($E67-'Rainfall Distribution Coef.'!$B$9)/('Rainfall Distribution Coef.'!$B$10-'Rainfall Distribution Coef.'!$B$9)),IF(AND($E67&gt;'Rainfall Distribution Coef.'!$B$10,$E67&lt;'Rainfall Distribution Coef.'!$B$11),'Rainfall Distribution Coef.'!E$10+('Rainfall Distribution Coef.'!E$11-'Rainfall Distribution Coef.'!E$10)*(($E67-'Rainfall Distribution Coef.'!$B$10)/('Rainfall Distribution Coef.'!$B$11-'Rainfall Distribution Coef.'!$B$10)),IF(AND($E67&gt;'Rainfall Distribution Coef.'!$B$11,$E67&lt;'Rainfall Distribution Coef.'!$B$12),'Rainfall Distribution Coef.'!E$11+('Rainfall Distribution Coef.'!E$12-'Rainfall Distribution Coef.'!E$11)*(($E67-'Rainfall Distribution Coef.'!$B$11)/('Rainfall Distribution Coef.'!$B$12-'Rainfall Distribution Coef.'!$B$11)),IF(AND($E67&gt;'Rainfall Distribution Coef.'!$B$12,$E67&lt;'Rainfall Distribution Coef.'!$B$13),'Rainfall Distribution Coef.'!E$12+('Rainfall Distribution Coef.'!E$13-'Rainfall Distribution Coef.'!E$12)*(($E67-'Rainfall Distribution Coef.'!$B$12)/('Rainfall Distribution Coef.'!$B$13-'Rainfall Distribution Coef.'!$B$12)),0))))))))+IF(AND($E67&gt;'Rainfall Distribution Coef.'!$B$13,$E67&lt;'Rainfall Distribution Coef.'!$B$14),'Rainfall Distribution Coef.'!E$13+('Rainfall Distribution Coef.'!E$14-'Rainfall Distribution Coef.'!E$13)*(($E67-'Rainfall Distribution Coef.'!$B$13)/('Rainfall Distribution Coef.'!$B$14-'Rainfall Distribution Coef.'!$B$13)),IF($E67='Rainfall Distribution Coef.'!$B$14,'Rainfall Distribution Coef.'!E$14,0))</f>
        <v>-0.10523104553971081</v>
      </c>
      <c r="N67" s="94">
        <f>(IF('Rainfall Distribution Coef.'!$B$16&gt;$E67,'Rainfall Distribution Coef.'!C$16,IF(AND($E67&gt;'Rainfall Distribution Coef.'!$B$16,$E67&lt;'Rainfall Distribution Coef.'!$B$17),'Rainfall Distribution Coef.'!C$16+('Rainfall Distribution Coef.'!C$17-'Rainfall Distribution Coef.'!C$16)*(($E67-'Rainfall Distribution Coef.'!$B$16)/('Rainfall Distribution Coef.'!$B$17-'Rainfall Distribution Coef.'!$B$16)),IF(AND($E67&gt;'Rainfall Distribution Coef.'!$B$17,$E67&lt;'Rainfall Distribution Coef.'!$B$18),'Rainfall Distribution Coef.'!C$17+('Rainfall Distribution Coef.'!C$18-'Rainfall Distribution Coef.'!C$17)*(($E67-'Rainfall Distribution Coef.'!$B$17)/('Rainfall Distribution Coef.'!$B$18-'Rainfall Distribution Coef.'!$B$17)),IF(AND($E67&gt;'Rainfall Distribution Coef.'!$B$18,$E67&lt;'Rainfall Distribution Coef.'!$B$19),'Rainfall Distribution Coef.'!C$18+('Rainfall Distribution Coef.'!C$19-'Rainfall Distribution Coef.'!C$18)*(($E67-'Rainfall Distribution Coef.'!$B$18)/('Rainfall Distribution Coef.'!$B$19-'Rainfall Distribution Coef.'!$B$18)),IF(AND($E67&gt;'Rainfall Distribution Coef.'!$B$19,$E67&lt;'Rainfall Distribution Coef.'!$B$20),'Rainfall Distribution Coef.'!C$19+('Rainfall Distribution Coef.'!C$20-'Rainfall Distribution Coef.'!C$19)*(($E67-'Rainfall Distribution Coef.'!$B$19)/('Rainfall Distribution Coef.'!$B$20-'Rainfall Distribution Coef.'!$B$19)),IF($E67='Rainfall Distribution Coef.'!$B$20,'Rainfall Distribution Coef.'!C$20,0)))))))</f>
        <v>1.983476371968671</v>
      </c>
      <c r="O67" s="94">
        <f>(IF('Rainfall Distribution Coef.'!$B$16&gt;$E67,'Rainfall Distribution Coef.'!D$16,IF(AND($E67&gt;'Rainfall Distribution Coef.'!$B$16,$E67&lt;'Rainfall Distribution Coef.'!$B$17),'Rainfall Distribution Coef.'!D$16+('Rainfall Distribution Coef.'!D$17-'Rainfall Distribution Coef.'!D$16)*(($E67-'Rainfall Distribution Coef.'!$B$16)/('Rainfall Distribution Coef.'!$B$17-'Rainfall Distribution Coef.'!$B$16)),IF(AND($E67&gt;'Rainfall Distribution Coef.'!$B$17,$E67&lt;'Rainfall Distribution Coef.'!$B$18),'Rainfall Distribution Coef.'!D$17+('Rainfall Distribution Coef.'!D$18-'Rainfall Distribution Coef.'!D$17)*(($E67-'Rainfall Distribution Coef.'!$B$17)/('Rainfall Distribution Coef.'!$B$18-'Rainfall Distribution Coef.'!$B$17)),IF(AND($E67&gt;'Rainfall Distribution Coef.'!$B$18,$E67&lt;'Rainfall Distribution Coef.'!$B$19),'Rainfall Distribution Coef.'!D$18+('Rainfall Distribution Coef.'!D$19-'Rainfall Distribution Coef.'!D$18)*(($E67-'Rainfall Distribution Coef.'!$B$18)/('Rainfall Distribution Coef.'!$B$19-'Rainfall Distribution Coef.'!$B$18)),IF(AND($E67&gt;'Rainfall Distribution Coef.'!$B$19,$E67&lt;'Rainfall Distribution Coef.'!$B$20),'Rainfall Distribution Coef.'!D$19+('Rainfall Distribution Coef.'!D$20-'Rainfall Distribution Coef.'!D$19)*(($E67-'Rainfall Distribution Coef.'!$B$19)/('Rainfall Distribution Coef.'!$B$20-'Rainfall Distribution Coef.'!$B$19)),IF($E67='Rainfall Distribution Coef.'!$B$20,'Rainfall Distribution Coef.'!D$20,0)))))))</f>
        <v>-0.30118206004173909</v>
      </c>
      <c r="P67" s="94">
        <f>(IF('Rainfall Distribution Coef.'!$B$16&gt;$E67,'Rainfall Distribution Coef.'!E$16,IF(AND($E67&gt;'Rainfall Distribution Coef.'!$B$16,$E67&lt;'Rainfall Distribution Coef.'!$B$17),'Rainfall Distribution Coef.'!E$16+('Rainfall Distribution Coef.'!E$17-'Rainfall Distribution Coef.'!E$16)*(($E67-'Rainfall Distribution Coef.'!$B$16)/('Rainfall Distribution Coef.'!$B$17-'Rainfall Distribution Coef.'!$B$16)),IF(AND($E67&gt;'Rainfall Distribution Coef.'!$B$17,$E67&lt;'Rainfall Distribution Coef.'!$B$18),'Rainfall Distribution Coef.'!E$17+('Rainfall Distribution Coef.'!E$18-'Rainfall Distribution Coef.'!E$17)*(($E67-'Rainfall Distribution Coef.'!$B$17)/('Rainfall Distribution Coef.'!$B$18-'Rainfall Distribution Coef.'!$B$17)),IF(AND($E67&gt;'Rainfall Distribution Coef.'!$B$18,$E67&lt;'Rainfall Distribution Coef.'!$B$19),'Rainfall Distribution Coef.'!E$18+('Rainfall Distribution Coef.'!E$19-'Rainfall Distribution Coef.'!E$18)*(($E67-'Rainfall Distribution Coef.'!$B$18)/('Rainfall Distribution Coef.'!$B$19-'Rainfall Distribution Coef.'!$B$18)),IF(AND($E67&gt;'Rainfall Distribution Coef.'!$B$19,$E67&lt;'Rainfall Distribution Coef.'!$B$20),'Rainfall Distribution Coef.'!E$19+('Rainfall Distribution Coef.'!E$20-'Rainfall Distribution Coef.'!E$19)*(($E67-'Rainfall Distribution Coef.'!$B$19)/('Rainfall Distribution Coef.'!$B$20-'Rainfall Distribution Coef.'!$B$19)),IF($E67='Rainfall Distribution Coef.'!$B$20,'Rainfall Distribution Coef.'!E$20,0)))))))</f>
        <v>-0.10821891329002989</v>
      </c>
      <c r="Q67" s="95">
        <f>(IF('Rainfall Distribution Coef.'!$B$22&gt;$E67,'Rainfall Distribution Coef.'!C$22,IF(AND($E67&gt;'Rainfall Distribution Coef.'!$B$22,$E67&lt;'Rainfall Distribution Coef.'!$B$23),'Rainfall Distribution Coef.'!C$22+('Rainfall Distribution Coef.'!C$23-'Rainfall Distribution Coef.'!C$22)*(($E67-'Rainfall Distribution Coef.'!$B$22)/('Rainfall Distribution Coef.'!$B$23-'Rainfall Distribution Coef.'!$B$22)),IF(AND($E67&gt;'Rainfall Distribution Coef.'!$B$23,$E67&lt;'Rainfall Distribution Coef.'!$B$24),'Rainfall Distribution Coef.'!C$23+('Rainfall Distribution Coef.'!C$24-'Rainfall Distribution Coef.'!C$23)*(($E67-'Rainfall Distribution Coef.'!$B$23)/('Rainfall Distribution Coef.'!$B$24-'Rainfall Distribution Coef.'!$B$23)),IF(AND($E67&gt;'Rainfall Distribution Coef.'!$B$24,$E67&lt;'Rainfall Distribution Coef.'!$B$25),'Rainfall Distribution Coef.'!C$24+('Rainfall Distribution Coef.'!C$25-'Rainfall Distribution Coef.'!C$24)*(($E67-'Rainfall Distribution Coef.'!$B$24)/('Rainfall Distribution Coef.'!$B$25-'Rainfall Distribution Coef.'!$B$24)),IF(AND($E67&gt;'Rainfall Distribution Coef.'!$B$25,$E67&lt;'Rainfall Distribution Coef.'!$B$26),'Rainfall Distribution Coef.'!C$25+('Rainfall Distribution Coef.'!C$26-'Rainfall Distribution Coef.'!C$25)*(($E67-'Rainfall Distribution Coef.'!$B$25)/('Rainfall Distribution Coef.'!$B$26-'Rainfall Distribution Coef.'!$B$25)),IF(AND($E67&gt;'Rainfall Distribution Coef.'!$B$26,$E67&lt;'Rainfall Distribution Coef.'!$B$27),'Rainfall Distribution Coef.'!C$26+('Rainfall Distribution Coef.'!C$27-'Rainfall Distribution Coef.'!C$26)*(($E67-'Rainfall Distribution Coef.'!$B$26)/('Rainfall Distribution Coef.'!$B$27-'Rainfall Distribution Coef.'!$B$26)), IF($E67='Rainfall Distribution Coef.'!$B$27,'Rainfall Distribution Coef.'!C$27,0))))))))</f>
        <v>2.5341133075752569</v>
      </c>
      <c r="R67" s="95">
        <f>(IF('Rainfall Distribution Coef.'!$B$22&gt;$E67,'Rainfall Distribution Coef.'!D$22,IF(AND($E67&gt;'Rainfall Distribution Coef.'!$B$22,$E67&lt;'Rainfall Distribution Coef.'!$B$23),'Rainfall Distribution Coef.'!D$22+('Rainfall Distribution Coef.'!D$23-'Rainfall Distribution Coef.'!D$22)*(($E67-'Rainfall Distribution Coef.'!$B$22)/('Rainfall Distribution Coef.'!$B$23-'Rainfall Distribution Coef.'!$B$22)),IF(AND($E67&gt;'Rainfall Distribution Coef.'!$B$23,$E67&lt;'Rainfall Distribution Coef.'!$B$24),'Rainfall Distribution Coef.'!D$23+('Rainfall Distribution Coef.'!D$24-'Rainfall Distribution Coef.'!D$23)*(($E67-'Rainfall Distribution Coef.'!$B$23)/('Rainfall Distribution Coef.'!$B$24-'Rainfall Distribution Coef.'!$B$23)),IF(AND($E67&gt;'Rainfall Distribution Coef.'!$B$24,$E67&lt;'Rainfall Distribution Coef.'!$B$25),'Rainfall Distribution Coef.'!D$24+('Rainfall Distribution Coef.'!D$25-'Rainfall Distribution Coef.'!D$24)*(($E67-'Rainfall Distribution Coef.'!$B$24)/('Rainfall Distribution Coef.'!$B$25-'Rainfall Distribution Coef.'!$B$24)),IF(AND($E67&gt;'Rainfall Distribution Coef.'!$B$25,$E67&lt;'Rainfall Distribution Coef.'!$B$26),'Rainfall Distribution Coef.'!D$25+('Rainfall Distribution Coef.'!D$26-'Rainfall Distribution Coef.'!D$25)*(($E67-'Rainfall Distribution Coef.'!$B$25)/('Rainfall Distribution Coef.'!$B$26-'Rainfall Distribution Coef.'!$B$25)),IF(AND($E67&gt;'Rainfall Distribution Coef.'!$B$26,$E67&lt;'Rainfall Distribution Coef.'!$B$27),'Rainfall Distribution Coef.'!D$26+('Rainfall Distribution Coef.'!D$27-'Rainfall Distribution Coef.'!D$26)*(($E67-'Rainfall Distribution Coef.'!$B$26)/('Rainfall Distribution Coef.'!$B$27-'Rainfall Distribution Coef.'!$B$26)), IF($E67='Rainfall Distribution Coef.'!$B$27,'Rainfall Distribution Coef.'!D$27,0))))))))</f>
        <v>-0.61674005868006299</v>
      </c>
      <c r="S67" s="95">
        <f>(IF('Rainfall Distribution Coef.'!$B$22&gt;$E67,'Rainfall Distribution Coef.'!E$22,IF(AND($E67&gt;'Rainfall Distribution Coef.'!$B$22,$E67&lt;'Rainfall Distribution Coef.'!$B$23),'Rainfall Distribution Coef.'!E$22+('Rainfall Distribution Coef.'!E$23-'Rainfall Distribution Coef.'!E$22)*(($E67-'Rainfall Distribution Coef.'!$B$22)/('Rainfall Distribution Coef.'!$B$23-'Rainfall Distribution Coef.'!$B$22)),IF(AND($E67&gt;'Rainfall Distribution Coef.'!$B$23,$E67&lt;'Rainfall Distribution Coef.'!$B$24),'Rainfall Distribution Coef.'!E$23+('Rainfall Distribution Coef.'!E$24-'Rainfall Distribution Coef.'!E$23)*(($E67-'Rainfall Distribution Coef.'!$B$23)/('Rainfall Distribution Coef.'!$B$24-'Rainfall Distribution Coef.'!$B$23)),IF(AND($E67&gt;'Rainfall Distribution Coef.'!$B$24,$E67&lt;'Rainfall Distribution Coef.'!$B$25),'Rainfall Distribution Coef.'!E$24+('Rainfall Distribution Coef.'!E$25-'Rainfall Distribution Coef.'!E$24)*(($E67-'Rainfall Distribution Coef.'!$B$24)/('Rainfall Distribution Coef.'!$B$25-'Rainfall Distribution Coef.'!$B$24)),IF(AND($E67&gt;'Rainfall Distribution Coef.'!$B$25,$E67&lt;'Rainfall Distribution Coef.'!$B$26),'Rainfall Distribution Coef.'!E$25+('Rainfall Distribution Coef.'!E$26-'Rainfall Distribution Coef.'!E$25)*(($E67-'Rainfall Distribution Coef.'!$B$25)/('Rainfall Distribution Coef.'!$B$26-'Rainfall Distribution Coef.'!$B$25)),IF(AND($E67&gt;'Rainfall Distribution Coef.'!$B$26,$E67&lt;'Rainfall Distribution Coef.'!$B$27),'Rainfall Distribution Coef.'!E$26+('Rainfall Distribution Coef.'!E$27-'Rainfall Distribution Coef.'!E$26)*(($E67-'Rainfall Distribution Coef.'!$B$26)/('Rainfall Distribution Coef.'!$B$27-'Rainfall Distribution Coef.'!$B$26)), IF($E67='Rainfall Distribution Coef.'!$B$27,'Rainfall Distribution Coef.'!E$27,0))))))))</f>
        <v>-0.15370946510660538</v>
      </c>
      <c r="T67" s="95">
        <f>(IF('Rainfall Distribution Coef.'!$B$29&gt;$E67,'Rainfall Distribution Coef.'!C$29,IF(AND($E67&gt;'Rainfall Distribution Coef.'!$B$29,$E67&lt;'Rainfall Distribution Coef.'!$B$30),'Rainfall Distribution Coef.'!C$29+('Rainfall Distribution Coef.'!C$30-'Rainfall Distribution Coef.'!C$29)*(($E67-'Rainfall Distribution Coef.'!$B$29)/('Rainfall Distribution Coef.'!$B$30-'Rainfall Distribution Coef.'!$B$29)),IF(AND($E67&gt;'Rainfall Distribution Coef.'!$B$30,$E67&lt;'Rainfall Distribution Coef.'!$B$31),'Rainfall Distribution Coef.'!C$30+('Rainfall Distribution Coef.'!C$31-'Rainfall Distribution Coef.'!C$30)*(($E67-'Rainfall Distribution Coef.'!$B$30)/('Rainfall Distribution Coef.'!$B$31-'Rainfall Distribution Coef.'!$B$30)),IF(AND($E67&gt;'Rainfall Distribution Coef.'!$B$31,$E67&lt;'Rainfall Distribution Coef.'!$B$32),'Rainfall Distribution Coef.'!C$31+('Rainfall Distribution Coef.'!C$32-'Rainfall Distribution Coef.'!C$31)*(($E67-'Rainfall Distribution Coef.'!$B$31)/('Rainfall Distribution Coef.'!$B$32-'Rainfall Distribution Coef.'!$B$31)),IF(AND($E67&gt;'Rainfall Distribution Coef.'!$B$32,$E67&lt;'Rainfall Distribution Coef.'!$B$33),'Rainfall Distribution Coef.'!C$32+('Rainfall Distribution Coef.'!C$33-'Rainfall Distribution Coef.'!C$32)*(($E67-'Rainfall Distribution Coef.'!$B$32)/('Rainfall Distribution Coef.'!$B$33-'Rainfall Distribution Coef.'!$B$32)),IF(AND($E67&gt;'Rainfall Distribution Coef.'!$B$33,$E67&lt;'Rainfall Distribution Coef.'!$B$34),'Rainfall Distribution Coef.'!C$33+('Rainfall Distribution Coef.'!C$34-'Rainfall Distribution Coef.'!C$33)*(($E67-'Rainfall Distribution Coef.'!$B$33)/('Rainfall Distribution Coef.'!$B$34-'Rainfall Distribution Coef.'!$B$33)), IF($E67='Rainfall Distribution Coef.'!$B$34,'Rainfall Distribution Coef.'!C$34,0))))))))</f>
        <v>2.456449689676504</v>
      </c>
      <c r="U67" s="95">
        <f>(IF('Rainfall Distribution Coef.'!$B$29&gt;$E67,'Rainfall Distribution Coef.'!D$29,IF(AND($E67&gt;'Rainfall Distribution Coef.'!$B$29,$E67&lt;'Rainfall Distribution Coef.'!$B$30),'Rainfall Distribution Coef.'!D$29+('Rainfall Distribution Coef.'!D$30-'Rainfall Distribution Coef.'!D$29)*(($E67-'Rainfall Distribution Coef.'!$B$29)/('Rainfall Distribution Coef.'!$B$30-'Rainfall Distribution Coef.'!$B$29)),IF(AND($E67&gt;'Rainfall Distribution Coef.'!$B$30,$E67&lt;'Rainfall Distribution Coef.'!$B$31),'Rainfall Distribution Coef.'!D$30+('Rainfall Distribution Coef.'!D$31-'Rainfall Distribution Coef.'!D$30)*(($E67-'Rainfall Distribution Coef.'!$B$30)/('Rainfall Distribution Coef.'!$B$31-'Rainfall Distribution Coef.'!$B$30)),IF(AND($E67&gt;'Rainfall Distribution Coef.'!$B$31,$E67&lt;'Rainfall Distribution Coef.'!$B$32),'Rainfall Distribution Coef.'!D$31+('Rainfall Distribution Coef.'!D$32-'Rainfall Distribution Coef.'!D$31)*(($E67-'Rainfall Distribution Coef.'!$B$31)/('Rainfall Distribution Coef.'!$B$32-'Rainfall Distribution Coef.'!$B$31)),IF(AND($E67&gt;'Rainfall Distribution Coef.'!$B$32,$E67&lt;'Rainfall Distribution Coef.'!$B$33),'Rainfall Distribution Coef.'!D$32+('Rainfall Distribution Coef.'!D$33-'Rainfall Distribution Coef.'!D$32)*(($E67-'Rainfall Distribution Coef.'!$B$32)/('Rainfall Distribution Coef.'!$B$33-'Rainfall Distribution Coef.'!$B$32)),IF(AND($E67&gt;'Rainfall Distribution Coef.'!$B$33,$E67&lt;'Rainfall Distribution Coef.'!$B$34),'Rainfall Distribution Coef.'!D$33+('Rainfall Distribution Coef.'!D$34-'Rainfall Distribution Coef.'!D$33)*(($E67-'Rainfall Distribution Coef.'!$B$33)/('Rainfall Distribution Coef.'!$B$34-'Rainfall Distribution Coef.'!$B$33)), IF($E67='Rainfall Distribution Coef.'!$B$34,'Rainfall Distribution Coef.'!D$34,0))))))))</f>
        <v>-0.51707522428547559</v>
      </c>
      <c r="V67" s="95">
        <f>(IF('Rainfall Distribution Coef.'!$B$29&gt;$E67,'Rainfall Distribution Coef.'!E$29,IF(AND($E67&gt;'Rainfall Distribution Coef.'!$B$29,$E67&lt;'Rainfall Distribution Coef.'!$B$30),'Rainfall Distribution Coef.'!E$29+('Rainfall Distribution Coef.'!E$30-'Rainfall Distribution Coef.'!E$29)*(($E67-'Rainfall Distribution Coef.'!$B$29)/('Rainfall Distribution Coef.'!$B$30-'Rainfall Distribution Coef.'!$B$29)),IF(AND($E67&gt;'Rainfall Distribution Coef.'!$B$30,$E67&lt;'Rainfall Distribution Coef.'!$B$31),'Rainfall Distribution Coef.'!E$30+('Rainfall Distribution Coef.'!E$31-'Rainfall Distribution Coef.'!E$30)*(($E67-'Rainfall Distribution Coef.'!$B$30)/('Rainfall Distribution Coef.'!$B$31-'Rainfall Distribution Coef.'!$B$30)),IF(AND($E67&gt;'Rainfall Distribution Coef.'!$B$31,$E67&lt;'Rainfall Distribution Coef.'!$B$32),'Rainfall Distribution Coef.'!E$31+('Rainfall Distribution Coef.'!E$32-'Rainfall Distribution Coef.'!E$31)*(($E67-'Rainfall Distribution Coef.'!$B$31)/('Rainfall Distribution Coef.'!$B$32-'Rainfall Distribution Coef.'!$B$31)),IF(AND($E67&gt;'Rainfall Distribution Coef.'!$B$32,$E67&lt;'Rainfall Distribution Coef.'!$B$33),'Rainfall Distribution Coef.'!E$32+('Rainfall Distribution Coef.'!E$33-'Rainfall Distribution Coef.'!E$32)*(($E67-'Rainfall Distribution Coef.'!$B$32)/('Rainfall Distribution Coef.'!$B$33-'Rainfall Distribution Coef.'!$B$32)),IF(AND($E67&gt;'Rainfall Distribution Coef.'!$B$33,$E67&lt;'Rainfall Distribution Coef.'!$B$34),'Rainfall Distribution Coef.'!E$33+('Rainfall Distribution Coef.'!E$34-'Rainfall Distribution Coef.'!E$33)*(($E67-'Rainfall Distribution Coef.'!$B$33)/('Rainfall Distribution Coef.'!$B$34-'Rainfall Distribution Coef.'!$B$33)), IF($E67='Rainfall Distribution Coef.'!$B$34,'Rainfall Distribution Coef.'!E$34,0))))))))</f>
        <v>-0.16248397957841371</v>
      </c>
    </row>
    <row r="68" spans="1:22" ht="12.75" customHeight="1" x14ac:dyDescent="0.2">
      <c r="A68" s="92"/>
      <c r="B68" s="90">
        <v>25</v>
      </c>
      <c r="C68" s="86">
        <f>F37</f>
        <v>6.4</v>
      </c>
      <c r="D68" s="86">
        <f>$E$45</f>
        <v>0.76050499340493694</v>
      </c>
      <c r="E68" s="86">
        <f>IF(D68/C68&gt;0.5,0.5,D68/C68)</f>
        <v>0.11882890521952139</v>
      </c>
      <c r="F68" s="91">
        <f>IF($A$63='Rainfall Distribution Coef.'!$K$2,10^(K68+(L68*LOG($E$28))+(M68*(LOG($E$28))^2)),IF($A$63='Rainfall Distribution Coef.'!$K$3,10^(N68+(O68*LOG($E$28))+(P68*(LOG($E$28))^2)),IF($A$63='Rainfall Distribution Coef.'!$K$4,10^(Q68+(R68*LOG($E$28))+(S68*(LOG($E$28))^2)),IF($A$63='Rainfall Distribution Coef.'!$K$5,10^(T68+(U68*LOG($E$28))+(V68*(LOG($E$28))^2)),"UPDATE"))))</f>
        <v>396.11696511554646</v>
      </c>
      <c r="G68" s="75" t="s">
        <v>89</v>
      </c>
      <c r="H68" s="82"/>
      <c r="K68" s="94">
        <f>(IF('Rainfall Distribution Coef.'!$B$7&gt;$E68,'Rainfall Distribution Coef.'!C$7,IF(AND($E68&gt;'Rainfall Distribution Coef.'!$B$7,$E68&lt;'Rainfall Distribution Coef.'!$B$8),'Rainfall Distribution Coef.'!C$7+('Rainfall Distribution Coef.'!C$8-'Rainfall Distribution Coef.'!C$7)*(($E68-'Rainfall Distribution Coef.'!$B$7)/('Rainfall Distribution Coef.'!$B$8-'Rainfall Distribution Coef.'!$B$7)),IF(AND($E68&gt;'Rainfall Distribution Coef.'!$B$8,$E68&lt;'Rainfall Distribution Coef.'!$B$9),'Rainfall Distribution Coef.'!C$8+('Rainfall Distribution Coef.'!C$9-'Rainfall Distribution Coef.'!C$8)*(($E68-'Rainfall Distribution Coef.'!$B$8)/('Rainfall Distribution Coef.'!$B$9-'Rainfall Distribution Coef.'!$B$8)),IF(AND($E68&gt;'Rainfall Distribution Coef.'!$B$9,$E68&lt;'Rainfall Distribution Coef.'!$B$10),'Rainfall Distribution Coef.'!C$9+('Rainfall Distribution Coef.'!C$10-'Rainfall Distribution Coef.'!C$9)*(($E68-'Rainfall Distribution Coef.'!$B$9)/('Rainfall Distribution Coef.'!$B$10-'Rainfall Distribution Coef.'!$B$9)),IF(AND($E68&gt;'Rainfall Distribution Coef.'!$B$10,$E68&lt;'Rainfall Distribution Coef.'!$B$11),'Rainfall Distribution Coef.'!C$10+('Rainfall Distribution Coef.'!C$11-'Rainfall Distribution Coef.'!C$10)*(($E68-'Rainfall Distribution Coef.'!$B$10)/('Rainfall Distribution Coef.'!$B$11-'Rainfall Distribution Coef.'!$B$10)),IF(AND($E68&gt;'Rainfall Distribution Coef.'!$B$11,$E68&lt;'Rainfall Distribution Coef.'!$B$12),'Rainfall Distribution Coef.'!C$11+('Rainfall Distribution Coef.'!C$12-'Rainfall Distribution Coef.'!C$11)*(($E68-'Rainfall Distribution Coef.'!$B$11)/('Rainfall Distribution Coef.'!$B$12-'Rainfall Distribution Coef.'!$B$11)),IF(AND($E68&gt;'Rainfall Distribution Coef.'!$B$12,$E68&lt;'Rainfall Distribution Coef.'!$B$13),'Rainfall Distribution Coef.'!C$12+('Rainfall Distribution Coef.'!C$13-'Rainfall Distribution Coef.'!C$12)*(($E68-'Rainfall Distribution Coef.'!$B$12)/('Rainfall Distribution Coef.'!$B$13-'Rainfall Distribution Coef.'!$B$12)),0))))))))+IF(AND($E68&gt;'Rainfall Distribution Coef.'!$B$13,$E68&lt;'Rainfall Distribution Coef.'!$B$14),'Rainfall Distribution Coef.'!C$13+('Rainfall Distribution Coef.'!C$14-'Rainfall Distribution Coef.'!C$13)*(($E68-'Rainfall Distribution Coef.'!$B$13)/('Rainfall Distribution Coef.'!$B$14-'Rainfall Distribution Coef.'!$B$13)),IF($E68='Rainfall Distribution Coef.'!$B$14,'Rainfall Distribution Coef.'!C$14,0))</f>
        <v>2.2922952887695494</v>
      </c>
      <c r="L68" s="94">
        <f>(IF('Rainfall Distribution Coef.'!$B$7&gt;$E68,'Rainfall Distribution Coef.'!D$7,IF(AND($E68&gt;'Rainfall Distribution Coef.'!$B$7,$E68&lt;'Rainfall Distribution Coef.'!$B$8),'Rainfall Distribution Coef.'!D$7+('Rainfall Distribution Coef.'!D$8-'Rainfall Distribution Coef.'!D$7)*(($E68-'Rainfall Distribution Coef.'!$B$7)/('Rainfall Distribution Coef.'!$B$8-'Rainfall Distribution Coef.'!$B$7)),IF(AND($E68&gt;'Rainfall Distribution Coef.'!$B$8,$E68&lt;'Rainfall Distribution Coef.'!$B$9),'Rainfall Distribution Coef.'!D$8+('Rainfall Distribution Coef.'!D$9-'Rainfall Distribution Coef.'!D$8)*(($E68-'Rainfall Distribution Coef.'!$B$8)/('Rainfall Distribution Coef.'!$B$9-'Rainfall Distribution Coef.'!$B$8)),IF(AND($E68&gt;'Rainfall Distribution Coef.'!$B$9,$E68&lt;'Rainfall Distribution Coef.'!$B$10),'Rainfall Distribution Coef.'!D$9+('Rainfall Distribution Coef.'!D$10-'Rainfall Distribution Coef.'!D$9)*(($E68-'Rainfall Distribution Coef.'!$B$9)/('Rainfall Distribution Coef.'!$B$10-'Rainfall Distribution Coef.'!$B$9)),IF(AND($E68&gt;'Rainfall Distribution Coef.'!$B$10,$E68&lt;'Rainfall Distribution Coef.'!$B$11),'Rainfall Distribution Coef.'!D$10+('Rainfall Distribution Coef.'!D$11-'Rainfall Distribution Coef.'!D$10)*(($E68-'Rainfall Distribution Coef.'!$B$10)/('Rainfall Distribution Coef.'!$B$11-'Rainfall Distribution Coef.'!$B$10)),IF(AND($E68&gt;'Rainfall Distribution Coef.'!$B$11,$E68&lt;'Rainfall Distribution Coef.'!$B$12),'Rainfall Distribution Coef.'!D$11+('Rainfall Distribution Coef.'!D$12-'Rainfall Distribution Coef.'!D$11)*(($E68-'Rainfall Distribution Coef.'!$B$11)/('Rainfall Distribution Coef.'!$B$12-'Rainfall Distribution Coef.'!$B$11)),IF(AND($E68&gt;'Rainfall Distribution Coef.'!$B$12,$E68&lt;'Rainfall Distribution Coef.'!$B$13),'Rainfall Distribution Coef.'!D$12+('Rainfall Distribution Coef.'!D$13-'Rainfall Distribution Coef.'!D$12)*(($E68-'Rainfall Distribution Coef.'!$B$12)/('Rainfall Distribution Coef.'!$B$13-'Rainfall Distribution Coef.'!$B$12)),0))))))))+IF(AND($E68&gt;'Rainfall Distribution Coef.'!$B$13,$E68&lt;'Rainfall Distribution Coef.'!$B$14),'Rainfall Distribution Coef.'!D$13+('Rainfall Distribution Coef.'!D$14-'Rainfall Distribution Coef.'!D$13)*(($E68-'Rainfall Distribution Coef.'!$B$13)/('Rainfall Distribution Coef.'!$B$14-'Rainfall Distribution Coef.'!$B$13)),IF($E68='Rainfall Distribution Coef.'!$B$14,'Rainfall Distribution Coef.'!D$14,0))</f>
        <v>-0.51232802807612587</v>
      </c>
      <c r="M68" s="94">
        <f>(IF('Rainfall Distribution Coef.'!$B$7&gt;$E68,'Rainfall Distribution Coef.'!E$7,IF(AND($E68&gt;'Rainfall Distribution Coef.'!$B$7,$E68&lt;'Rainfall Distribution Coef.'!$B$8),'Rainfall Distribution Coef.'!E$7+('Rainfall Distribution Coef.'!E$8-'Rainfall Distribution Coef.'!E$7)*(($E68-'Rainfall Distribution Coef.'!$B$7)/('Rainfall Distribution Coef.'!$B$8-'Rainfall Distribution Coef.'!$B$7)),IF(AND($E68&gt;'Rainfall Distribution Coef.'!$B$8,$E68&lt;'Rainfall Distribution Coef.'!$B$9),'Rainfall Distribution Coef.'!E$8+('Rainfall Distribution Coef.'!E$9-'Rainfall Distribution Coef.'!E$8)*(($E68-'Rainfall Distribution Coef.'!$B$8)/('Rainfall Distribution Coef.'!$B$9-'Rainfall Distribution Coef.'!$B$8)),IF(AND($E68&gt;'Rainfall Distribution Coef.'!$B$9,$E68&lt;'Rainfall Distribution Coef.'!$B$10),'Rainfall Distribution Coef.'!E$9+('Rainfall Distribution Coef.'!E$10-'Rainfall Distribution Coef.'!E$9)*(($E68-'Rainfall Distribution Coef.'!$B$9)/('Rainfall Distribution Coef.'!$B$10-'Rainfall Distribution Coef.'!$B$9)),IF(AND($E68&gt;'Rainfall Distribution Coef.'!$B$10,$E68&lt;'Rainfall Distribution Coef.'!$B$11),'Rainfall Distribution Coef.'!E$10+('Rainfall Distribution Coef.'!E$11-'Rainfall Distribution Coef.'!E$10)*(($E68-'Rainfall Distribution Coef.'!$B$10)/('Rainfall Distribution Coef.'!$B$11-'Rainfall Distribution Coef.'!$B$10)),IF(AND($E68&gt;'Rainfall Distribution Coef.'!$B$11,$E68&lt;'Rainfall Distribution Coef.'!$B$12),'Rainfall Distribution Coef.'!E$11+('Rainfall Distribution Coef.'!E$12-'Rainfall Distribution Coef.'!E$11)*(($E68-'Rainfall Distribution Coef.'!$B$11)/('Rainfall Distribution Coef.'!$B$12-'Rainfall Distribution Coef.'!$B$11)),IF(AND($E68&gt;'Rainfall Distribution Coef.'!$B$12,$E68&lt;'Rainfall Distribution Coef.'!$B$13),'Rainfall Distribution Coef.'!E$12+('Rainfall Distribution Coef.'!E$13-'Rainfall Distribution Coef.'!E$12)*(($E68-'Rainfall Distribution Coef.'!$B$12)/('Rainfall Distribution Coef.'!$B$13-'Rainfall Distribution Coef.'!$B$12)),0))))))))+IF(AND($E68&gt;'Rainfall Distribution Coef.'!$B$13,$E68&lt;'Rainfall Distribution Coef.'!$B$14),'Rainfall Distribution Coef.'!E$13+('Rainfall Distribution Coef.'!E$14-'Rainfall Distribution Coef.'!E$13)*(($E68-'Rainfall Distribution Coef.'!$B$13)/('Rainfall Distribution Coef.'!$B$14-'Rainfall Distribution Coef.'!$B$13)),IF($E68='Rainfall Distribution Coef.'!$B$14,'Rainfall Distribution Coef.'!E$14,0))</f>
        <v>-0.11218836583757301</v>
      </c>
      <c r="N68" s="94">
        <f>(IF('Rainfall Distribution Coef.'!$B$16&gt;$E68,'Rainfall Distribution Coef.'!C$16,IF(AND($E68&gt;'Rainfall Distribution Coef.'!$B$16,$E68&lt;'Rainfall Distribution Coef.'!$B$17),'Rainfall Distribution Coef.'!C$16+('Rainfall Distribution Coef.'!C$17-'Rainfall Distribution Coef.'!C$16)*(($E68-'Rainfall Distribution Coef.'!$B$16)/('Rainfall Distribution Coef.'!$B$17-'Rainfall Distribution Coef.'!$B$16)),IF(AND($E68&gt;'Rainfall Distribution Coef.'!$B$17,$E68&lt;'Rainfall Distribution Coef.'!$B$18),'Rainfall Distribution Coef.'!C$17+('Rainfall Distribution Coef.'!C$18-'Rainfall Distribution Coef.'!C$17)*(($E68-'Rainfall Distribution Coef.'!$B$17)/('Rainfall Distribution Coef.'!$B$18-'Rainfall Distribution Coef.'!$B$17)),IF(AND($E68&gt;'Rainfall Distribution Coef.'!$B$18,$E68&lt;'Rainfall Distribution Coef.'!$B$19),'Rainfall Distribution Coef.'!C$18+('Rainfall Distribution Coef.'!C$19-'Rainfall Distribution Coef.'!C$18)*(($E68-'Rainfall Distribution Coef.'!$B$18)/('Rainfall Distribution Coef.'!$B$19-'Rainfall Distribution Coef.'!$B$18)),IF(AND($E68&gt;'Rainfall Distribution Coef.'!$B$19,$E68&lt;'Rainfall Distribution Coef.'!$B$20),'Rainfall Distribution Coef.'!C$19+('Rainfall Distribution Coef.'!C$20-'Rainfall Distribution Coef.'!C$19)*(($E68-'Rainfall Distribution Coef.'!$B$19)/('Rainfall Distribution Coef.'!$B$20-'Rainfall Distribution Coef.'!$B$19)),IF($E68='Rainfall Distribution Coef.'!$B$20,'Rainfall Distribution Coef.'!C$20,0)))))))</f>
        <v>2.0112760580365556</v>
      </c>
      <c r="O68" s="94">
        <f>(IF('Rainfall Distribution Coef.'!$B$16&gt;$E68,'Rainfall Distribution Coef.'!D$16,IF(AND($E68&gt;'Rainfall Distribution Coef.'!$B$16,$E68&lt;'Rainfall Distribution Coef.'!$B$17),'Rainfall Distribution Coef.'!D$16+('Rainfall Distribution Coef.'!D$17-'Rainfall Distribution Coef.'!D$16)*(($E68-'Rainfall Distribution Coef.'!$B$16)/('Rainfall Distribution Coef.'!$B$17-'Rainfall Distribution Coef.'!$B$16)),IF(AND($E68&gt;'Rainfall Distribution Coef.'!$B$17,$E68&lt;'Rainfall Distribution Coef.'!$B$18),'Rainfall Distribution Coef.'!D$17+('Rainfall Distribution Coef.'!D$18-'Rainfall Distribution Coef.'!D$17)*(($E68-'Rainfall Distribution Coef.'!$B$17)/('Rainfall Distribution Coef.'!$B$18-'Rainfall Distribution Coef.'!$B$17)),IF(AND($E68&gt;'Rainfall Distribution Coef.'!$B$18,$E68&lt;'Rainfall Distribution Coef.'!$B$19),'Rainfall Distribution Coef.'!D$18+('Rainfall Distribution Coef.'!D$19-'Rainfall Distribution Coef.'!D$18)*(($E68-'Rainfall Distribution Coef.'!$B$18)/('Rainfall Distribution Coef.'!$B$19-'Rainfall Distribution Coef.'!$B$18)),IF(AND($E68&gt;'Rainfall Distribution Coef.'!$B$19,$E68&lt;'Rainfall Distribution Coef.'!$B$20),'Rainfall Distribution Coef.'!D$19+('Rainfall Distribution Coef.'!D$20-'Rainfall Distribution Coef.'!D$19)*(($E68-'Rainfall Distribution Coef.'!$B$19)/('Rainfall Distribution Coef.'!$B$20-'Rainfall Distribution Coef.'!$B$19)),IF($E68='Rainfall Distribution Coef.'!$B$20,'Rainfall Distribution Coef.'!D$20,0)))))))</f>
        <v>-0.30948842472206523</v>
      </c>
      <c r="P68" s="94">
        <f>(IF('Rainfall Distribution Coef.'!$B$16&gt;$E68,'Rainfall Distribution Coef.'!E$16,IF(AND($E68&gt;'Rainfall Distribution Coef.'!$B$16,$E68&lt;'Rainfall Distribution Coef.'!$B$17),'Rainfall Distribution Coef.'!E$16+('Rainfall Distribution Coef.'!E$17-'Rainfall Distribution Coef.'!E$16)*(($E68-'Rainfall Distribution Coef.'!$B$16)/('Rainfall Distribution Coef.'!$B$17-'Rainfall Distribution Coef.'!$B$16)),IF(AND($E68&gt;'Rainfall Distribution Coef.'!$B$17,$E68&lt;'Rainfall Distribution Coef.'!$B$18),'Rainfall Distribution Coef.'!E$17+('Rainfall Distribution Coef.'!E$18-'Rainfall Distribution Coef.'!E$17)*(($E68-'Rainfall Distribution Coef.'!$B$17)/('Rainfall Distribution Coef.'!$B$18-'Rainfall Distribution Coef.'!$B$17)),IF(AND($E68&gt;'Rainfall Distribution Coef.'!$B$18,$E68&lt;'Rainfall Distribution Coef.'!$B$19),'Rainfall Distribution Coef.'!E$18+('Rainfall Distribution Coef.'!E$19-'Rainfall Distribution Coef.'!E$18)*(($E68-'Rainfall Distribution Coef.'!$B$18)/('Rainfall Distribution Coef.'!$B$19-'Rainfall Distribution Coef.'!$B$18)),IF(AND($E68&gt;'Rainfall Distribution Coef.'!$B$19,$E68&lt;'Rainfall Distribution Coef.'!$B$20),'Rainfall Distribution Coef.'!E$19+('Rainfall Distribution Coef.'!E$20-'Rainfall Distribution Coef.'!E$19)*(($E68-'Rainfall Distribution Coef.'!$B$19)/('Rainfall Distribution Coef.'!$B$20-'Rainfall Distribution Coef.'!$B$19)),IF($E68='Rainfall Distribution Coef.'!$B$20,'Rainfall Distribution Coef.'!E$20,0)))))))</f>
        <v>-0.12481191256830601</v>
      </c>
      <c r="Q68" s="95">
        <f>(IF('Rainfall Distribution Coef.'!$B$22&gt;$E68,'Rainfall Distribution Coef.'!C$22,IF(AND($E68&gt;'Rainfall Distribution Coef.'!$B$22,$E68&lt;'Rainfall Distribution Coef.'!$B$23),'Rainfall Distribution Coef.'!C$22+('Rainfall Distribution Coef.'!C$23-'Rainfall Distribution Coef.'!C$22)*(($E68-'Rainfall Distribution Coef.'!$B$22)/('Rainfall Distribution Coef.'!$B$23-'Rainfall Distribution Coef.'!$B$22)),IF(AND($E68&gt;'Rainfall Distribution Coef.'!$B$23,$E68&lt;'Rainfall Distribution Coef.'!$B$24),'Rainfall Distribution Coef.'!C$23+('Rainfall Distribution Coef.'!C$24-'Rainfall Distribution Coef.'!C$23)*(($E68-'Rainfall Distribution Coef.'!$B$23)/('Rainfall Distribution Coef.'!$B$24-'Rainfall Distribution Coef.'!$B$23)),IF(AND($E68&gt;'Rainfall Distribution Coef.'!$B$24,$E68&lt;'Rainfall Distribution Coef.'!$B$25),'Rainfall Distribution Coef.'!C$24+('Rainfall Distribution Coef.'!C$25-'Rainfall Distribution Coef.'!C$24)*(($E68-'Rainfall Distribution Coef.'!$B$24)/('Rainfall Distribution Coef.'!$B$25-'Rainfall Distribution Coef.'!$B$24)),IF(AND($E68&gt;'Rainfall Distribution Coef.'!$B$25,$E68&lt;'Rainfall Distribution Coef.'!$B$26),'Rainfall Distribution Coef.'!C$25+('Rainfall Distribution Coef.'!C$26-'Rainfall Distribution Coef.'!C$25)*(($E68-'Rainfall Distribution Coef.'!$B$25)/('Rainfall Distribution Coef.'!$B$26-'Rainfall Distribution Coef.'!$B$25)),IF(AND($E68&gt;'Rainfall Distribution Coef.'!$B$26,$E68&lt;'Rainfall Distribution Coef.'!$B$27),'Rainfall Distribution Coef.'!C$26+('Rainfall Distribution Coef.'!C$27-'Rainfall Distribution Coef.'!C$26)*(($E68-'Rainfall Distribution Coef.'!$B$26)/('Rainfall Distribution Coef.'!$B$27-'Rainfall Distribution Coef.'!$B$26)), IF($E68='Rainfall Distribution Coef.'!$B$27,'Rainfall Distribution Coef.'!C$27,0))))))))</f>
        <v>2.5449537547107597</v>
      </c>
      <c r="R68" s="95">
        <f>(IF('Rainfall Distribution Coef.'!$B$22&gt;$E68,'Rainfall Distribution Coef.'!D$22,IF(AND($E68&gt;'Rainfall Distribution Coef.'!$B$22,$E68&lt;'Rainfall Distribution Coef.'!$B$23),'Rainfall Distribution Coef.'!D$22+('Rainfall Distribution Coef.'!D$23-'Rainfall Distribution Coef.'!D$22)*(($E68-'Rainfall Distribution Coef.'!$B$22)/('Rainfall Distribution Coef.'!$B$23-'Rainfall Distribution Coef.'!$B$22)),IF(AND($E68&gt;'Rainfall Distribution Coef.'!$B$23,$E68&lt;'Rainfall Distribution Coef.'!$B$24),'Rainfall Distribution Coef.'!D$23+('Rainfall Distribution Coef.'!D$24-'Rainfall Distribution Coef.'!D$23)*(($E68-'Rainfall Distribution Coef.'!$B$23)/('Rainfall Distribution Coef.'!$B$24-'Rainfall Distribution Coef.'!$B$23)),IF(AND($E68&gt;'Rainfall Distribution Coef.'!$B$24,$E68&lt;'Rainfall Distribution Coef.'!$B$25),'Rainfall Distribution Coef.'!D$24+('Rainfall Distribution Coef.'!D$25-'Rainfall Distribution Coef.'!D$24)*(($E68-'Rainfall Distribution Coef.'!$B$24)/('Rainfall Distribution Coef.'!$B$25-'Rainfall Distribution Coef.'!$B$24)),IF(AND($E68&gt;'Rainfall Distribution Coef.'!$B$25,$E68&lt;'Rainfall Distribution Coef.'!$B$26),'Rainfall Distribution Coef.'!D$25+('Rainfall Distribution Coef.'!D$26-'Rainfall Distribution Coef.'!D$25)*(($E68-'Rainfall Distribution Coef.'!$B$25)/('Rainfall Distribution Coef.'!$B$26-'Rainfall Distribution Coef.'!$B$25)),IF(AND($E68&gt;'Rainfall Distribution Coef.'!$B$26,$E68&lt;'Rainfall Distribution Coef.'!$B$27),'Rainfall Distribution Coef.'!D$26+('Rainfall Distribution Coef.'!D$27-'Rainfall Distribution Coef.'!D$26)*(($E68-'Rainfall Distribution Coef.'!$B$26)/('Rainfall Distribution Coef.'!$B$27-'Rainfall Distribution Coef.'!$B$26)), IF($E68='Rainfall Distribution Coef.'!$B$27,'Rainfall Distribution Coef.'!D$27,0))))))))</f>
        <v>-0.61582137671942716</v>
      </c>
      <c r="S68" s="95">
        <f>(IF('Rainfall Distribution Coef.'!$B$22&gt;$E68,'Rainfall Distribution Coef.'!E$22,IF(AND($E68&gt;'Rainfall Distribution Coef.'!$B$22,$E68&lt;'Rainfall Distribution Coef.'!$B$23),'Rainfall Distribution Coef.'!E$22+('Rainfall Distribution Coef.'!E$23-'Rainfall Distribution Coef.'!E$22)*(($E68-'Rainfall Distribution Coef.'!$B$22)/('Rainfall Distribution Coef.'!$B$23-'Rainfall Distribution Coef.'!$B$22)),IF(AND($E68&gt;'Rainfall Distribution Coef.'!$B$23,$E68&lt;'Rainfall Distribution Coef.'!$B$24),'Rainfall Distribution Coef.'!E$23+('Rainfall Distribution Coef.'!E$24-'Rainfall Distribution Coef.'!E$23)*(($E68-'Rainfall Distribution Coef.'!$B$23)/('Rainfall Distribution Coef.'!$B$24-'Rainfall Distribution Coef.'!$B$23)),IF(AND($E68&gt;'Rainfall Distribution Coef.'!$B$24,$E68&lt;'Rainfall Distribution Coef.'!$B$25),'Rainfall Distribution Coef.'!E$24+('Rainfall Distribution Coef.'!E$25-'Rainfall Distribution Coef.'!E$24)*(($E68-'Rainfall Distribution Coef.'!$B$24)/('Rainfall Distribution Coef.'!$B$25-'Rainfall Distribution Coef.'!$B$24)),IF(AND($E68&gt;'Rainfall Distribution Coef.'!$B$25,$E68&lt;'Rainfall Distribution Coef.'!$B$26),'Rainfall Distribution Coef.'!E$25+('Rainfall Distribution Coef.'!E$26-'Rainfall Distribution Coef.'!E$25)*(($E68-'Rainfall Distribution Coef.'!$B$25)/('Rainfall Distribution Coef.'!$B$26-'Rainfall Distribution Coef.'!$B$25)),IF(AND($E68&gt;'Rainfall Distribution Coef.'!$B$26,$E68&lt;'Rainfall Distribution Coef.'!$B$27),'Rainfall Distribution Coef.'!E$26+('Rainfall Distribution Coef.'!E$27-'Rainfall Distribution Coef.'!E$26)*(($E68-'Rainfall Distribution Coef.'!$B$26)/('Rainfall Distribution Coef.'!$B$27-'Rainfall Distribution Coef.'!$B$26)), IF($E68='Rainfall Distribution Coef.'!$B$27,'Rainfall Distribution Coef.'!E$27,0))))))))</f>
        <v>-0.15956190079140758</v>
      </c>
      <c r="T68" s="95">
        <f>(IF('Rainfall Distribution Coef.'!$B$29&gt;$E68,'Rainfall Distribution Coef.'!C$29,IF(AND($E68&gt;'Rainfall Distribution Coef.'!$B$29,$E68&lt;'Rainfall Distribution Coef.'!$B$30),'Rainfall Distribution Coef.'!C$29+('Rainfall Distribution Coef.'!C$30-'Rainfall Distribution Coef.'!C$29)*(($E68-'Rainfall Distribution Coef.'!$B$29)/('Rainfall Distribution Coef.'!$B$30-'Rainfall Distribution Coef.'!$B$29)),IF(AND($E68&gt;'Rainfall Distribution Coef.'!$B$30,$E68&lt;'Rainfall Distribution Coef.'!$B$31),'Rainfall Distribution Coef.'!C$30+('Rainfall Distribution Coef.'!C$31-'Rainfall Distribution Coef.'!C$30)*(($E68-'Rainfall Distribution Coef.'!$B$30)/('Rainfall Distribution Coef.'!$B$31-'Rainfall Distribution Coef.'!$B$30)),IF(AND($E68&gt;'Rainfall Distribution Coef.'!$B$31,$E68&lt;'Rainfall Distribution Coef.'!$B$32),'Rainfall Distribution Coef.'!C$31+('Rainfall Distribution Coef.'!C$32-'Rainfall Distribution Coef.'!C$31)*(($E68-'Rainfall Distribution Coef.'!$B$31)/('Rainfall Distribution Coef.'!$B$32-'Rainfall Distribution Coef.'!$B$31)),IF(AND($E68&gt;'Rainfall Distribution Coef.'!$B$32,$E68&lt;'Rainfall Distribution Coef.'!$B$33),'Rainfall Distribution Coef.'!C$32+('Rainfall Distribution Coef.'!C$33-'Rainfall Distribution Coef.'!C$32)*(($E68-'Rainfall Distribution Coef.'!$B$32)/('Rainfall Distribution Coef.'!$B$33-'Rainfall Distribution Coef.'!$B$32)),IF(AND($E68&gt;'Rainfall Distribution Coef.'!$B$33,$E68&lt;'Rainfall Distribution Coef.'!$B$34),'Rainfall Distribution Coef.'!C$33+('Rainfall Distribution Coef.'!C$34-'Rainfall Distribution Coef.'!C$33)*(($E68-'Rainfall Distribution Coef.'!$B$33)/('Rainfall Distribution Coef.'!$B$34-'Rainfall Distribution Coef.'!$B$33)), IF($E68='Rainfall Distribution Coef.'!$B$34,'Rainfall Distribution Coef.'!C$34,0))))))))</f>
        <v>2.4659312273883551</v>
      </c>
      <c r="U68" s="95">
        <f>(IF('Rainfall Distribution Coef.'!$B$29&gt;$E68,'Rainfall Distribution Coef.'!D$29,IF(AND($E68&gt;'Rainfall Distribution Coef.'!$B$29,$E68&lt;'Rainfall Distribution Coef.'!$B$30),'Rainfall Distribution Coef.'!D$29+('Rainfall Distribution Coef.'!D$30-'Rainfall Distribution Coef.'!D$29)*(($E68-'Rainfall Distribution Coef.'!$B$29)/('Rainfall Distribution Coef.'!$B$30-'Rainfall Distribution Coef.'!$B$29)),IF(AND($E68&gt;'Rainfall Distribution Coef.'!$B$30,$E68&lt;'Rainfall Distribution Coef.'!$B$31),'Rainfall Distribution Coef.'!D$30+('Rainfall Distribution Coef.'!D$31-'Rainfall Distribution Coef.'!D$30)*(($E68-'Rainfall Distribution Coef.'!$B$30)/('Rainfall Distribution Coef.'!$B$31-'Rainfall Distribution Coef.'!$B$30)),IF(AND($E68&gt;'Rainfall Distribution Coef.'!$B$31,$E68&lt;'Rainfall Distribution Coef.'!$B$32),'Rainfall Distribution Coef.'!D$31+('Rainfall Distribution Coef.'!D$32-'Rainfall Distribution Coef.'!D$31)*(($E68-'Rainfall Distribution Coef.'!$B$31)/('Rainfall Distribution Coef.'!$B$32-'Rainfall Distribution Coef.'!$B$31)),IF(AND($E68&gt;'Rainfall Distribution Coef.'!$B$32,$E68&lt;'Rainfall Distribution Coef.'!$B$33),'Rainfall Distribution Coef.'!D$32+('Rainfall Distribution Coef.'!D$33-'Rainfall Distribution Coef.'!D$32)*(($E68-'Rainfall Distribution Coef.'!$B$32)/('Rainfall Distribution Coef.'!$B$33-'Rainfall Distribution Coef.'!$B$32)),IF(AND($E68&gt;'Rainfall Distribution Coef.'!$B$33,$E68&lt;'Rainfall Distribution Coef.'!$B$34),'Rainfall Distribution Coef.'!D$33+('Rainfall Distribution Coef.'!D$34-'Rainfall Distribution Coef.'!D$33)*(($E68-'Rainfall Distribution Coef.'!$B$33)/('Rainfall Distribution Coef.'!$B$34-'Rainfall Distribution Coef.'!$B$33)), IF($E68='Rainfall Distribution Coef.'!$B$34,'Rainfall Distribution Coef.'!D$34,0))))))))</f>
        <v>-0.51787182636140949</v>
      </c>
      <c r="V68" s="95">
        <f>(IF('Rainfall Distribution Coef.'!$B$29&gt;$E68,'Rainfall Distribution Coef.'!E$29,IF(AND($E68&gt;'Rainfall Distribution Coef.'!$B$29,$E68&lt;'Rainfall Distribution Coef.'!$B$30),'Rainfall Distribution Coef.'!E$29+('Rainfall Distribution Coef.'!E$30-'Rainfall Distribution Coef.'!E$29)*(($E68-'Rainfall Distribution Coef.'!$B$29)/('Rainfall Distribution Coef.'!$B$30-'Rainfall Distribution Coef.'!$B$29)),IF(AND($E68&gt;'Rainfall Distribution Coef.'!$B$30,$E68&lt;'Rainfall Distribution Coef.'!$B$31),'Rainfall Distribution Coef.'!E$30+('Rainfall Distribution Coef.'!E$31-'Rainfall Distribution Coef.'!E$30)*(($E68-'Rainfall Distribution Coef.'!$B$30)/('Rainfall Distribution Coef.'!$B$31-'Rainfall Distribution Coef.'!$B$30)),IF(AND($E68&gt;'Rainfall Distribution Coef.'!$B$31,$E68&lt;'Rainfall Distribution Coef.'!$B$32),'Rainfall Distribution Coef.'!E$31+('Rainfall Distribution Coef.'!E$32-'Rainfall Distribution Coef.'!E$31)*(($E68-'Rainfall Distribution Coef.'!$B$31)/('Rainfall Distribution Coef.'!$B$32-'Rainfall Distribution Coef.'!$B$31)),IF(AND($E68&gt;'Rainfall Distribution Coef.'!$B$32,$E68&lt;'Rainfall Distribution Coef.'!$B$33),'Rainfall Distribution Coef.'!E$32+('Rainfall Distribution Coef.'!E$33-'Rainfall Distribution Coef.'!E$32)*(($E68-'Rainfall Distribution Coef.'!$B$32)/('Rainfall Distribution Coef.'!$B$33-'Rainfall Distribution Coef.'!$B$32)),IF(AND($E68&gt;'Rainfall Distribution Coef.'!$B$33,$E68&lt;'Rainfall Distribution Coef.'!$B$34),'Rainfall Distribution Coef.'!E$33+('Rainfall Distribution Coef.'!E$34-'Rainfall Distribution Coef.'!E$33)*(($E68-'Rainfall Distribution Coef.'!$B$33)/('Rainfall Distribution Coef.'!$B$34-'Rainfall Distribution Coef.'!$B$33)), IF($E68='Rainfall Distribution Coef.'!$B$34,'Rainfall Distribution Coef.'!E$34,0))))))))</f>
        <v>-0.16721673308837387</v>
      </c>
    </row>
    <row r="69" spans="1:22" ht="12.75" x14ac:dyDescent="0.2">
      <c r="B69" s="90">
        <v>50</v>
      </c>
      <c r="C69" s="86">
        <f>F38</f>
        <v>7.3</v>
      </c>
      <c r="D69" s="86">
        <f>$E$45</f>
        <v>0.76050499340493694</v>
      </c>
      <c r="E69" s="86">
        <f>IF(D69/C69&gt;0.5,0.5,D69/C69)</f>
        <v>0.10417876621985438</v>
      </c>
      <c r="F69" s="91">
        <f>IF($A$63='Rainfall Distribution Coef.'!$K$2,10^(K69+(L69*LOG($E$28))+(M69*(LOG($E$28))^2)),IF($A$63='Rainfall Distribution Coef.'!$K$3,10^(N69+(O69*LOG($E$28))+(P69*(LOG($E$28))^2)),IF($A$63='Rainfall Distribution Coef.'!$K$4,10^(Q69+(R69*LOG($E$28))+(S69*(LOG($E$28))^2)),IF($A$63='Rainfall Distribution Coef.'!$K$5,10^(T69+(U69*LOG($E$28))+(V69*(LOG($E$28))^2)),"UPDATE"))))</f>
        <v>401.96490562310038</v>
      </c>
      <c r="G69" s="75" t="s">
        <v>89</v>
      </c>
      <c r="H69" s="82"/>
      <c r="K69" s="94">
        <f>(IF('Rainfall Distribution Coef.'!$B$7&gt;$E69,'Rainfall Distribution Coef.'!C$7,IF(AND($E69&gt;'Rainfall Distribution Coef.'!$B$7,$E69&lt;'Rainfall Distribution Coef.'!$B$8),'Rainfall Distribution Coef.'!C$7+('Rainfall Distribution Coef.'!C$8-'Rainfall Distribution Coef.'!C$7)*(($E69-'Rainfall Distribution Coef.'!$B$7)/('Rainfall Distribution Coef.'!$B$8-'Rainfall Distribution Coef.'!$B$7)),IF(AND($E69&gt;'Rainfall Distribution Coef.'!$B$8,$E69&lt;'Rainfall Distribution Coef.'!$B$9),'Rainfall Distribution Coef.'!C$8+('Rainfall Distribution Coef.'!C$9-'Rainfall Distribution Coef.'!C$8)*(($E69-'Rainfall Distribution Coef.'!$B$8)/('Rainfall Distribution Coef.'!$B$9-'Rainfall Distribution Coef.'!$B$8)),IF(AND($E69&gt;'Rainfall Distribution Coef.'!$B$9,$E69&lt;'Rainfall Distribution Coef.'!$B$10),'Rainfall Distribution Coef.'!C$9+('Rainfall Distribution Coef.'!C$10-'Rainfall Distribution Coef.'!C$9)*(($E69-'Rainfall Distribution Coef.'!$B$9)/('Rainfall Distribution Coef.'!$B$10-'Rainfall Distribution Coef.'!$B$9)),IF(AND($E69&gt;'Rainfall Distribution Coef.'!$B$10,$E69&lt;'Rainfall Distribution Coef.'!$B$11),'Rainfall Distribution Coef.'!C$10+('Rainfall Distribution Coef.'!C$11-'Rainfall Distribution Coef.'!C$10)*(($E69-'Rainfall Distribution Coef.'!$B$10)/('Rainfall Distribution Coef.'!$B$11-'Rainfall Distribution Coef.'!$B$10)),IF(AND($E69&gt;'Rainfall Distribution Coef.'!$B$11,$E69&lt;'Rainfall Distribution Coef.'!$B$12),'Rainfall Distribution Coef.'!C$11+('Rainfall Distribution Coef.'!C$12-'Rainfall Distribution Coef.'!C$11)*(($E69-'Rainfall Distribution Coef.'!$B$11)/('Rainfall Distribution Coef.'!$B$12-'Rainfall Distribution Coef.'!$B$11)),IF(AND($E69&gt;'Rainfall Distribution Coef.'!$B$12,$E69&lt;'Rainfall Distribution Coef.'!$B$13),'Rainfall Distribution Coef.'!C$12+('Rainfall Distribution Coef.'!C$13-'Rainfall Distribution Coef.'!C$12)*(($E69-'Rainfall Distribution Coef.'!$B$12)/('Rainfall Distribution Coef.'!$B$13-'Rainfall Distribution Coef.'!$B$12)),0))))))))+IF(AND($E69&gt;'Rainfall Distribution Coef.'!$B$13,$E69&lt;'Rainfall Distribution Coef.'!$B$14),'Rainfall Distribution Coef.'!C$13+('Rainfall Distribution Coef.'!C$14-'Rainfall Distribution Coef.'!C$13)*(($E69-'Rainfall Distribution Coef.'!$B$13)/('Rainfall Distribution Coef.'!$B$14-'Rainfall Distribution Coef.'!$B$13)),IF($E69='Rainfall Distribution Coef.'!$B$14,'Rainfall Distribution Coef.'!C$14,0))</f>
        <v>2.3025694312500162</v>
      </c>
      <c r="L69" s="94">
        <f>(IF('Rainfall Distribution Coef.'!$B$7&gt;$E69,'Rainfall Distribution Coef.'!D$7,IF(AND($E69&gt;'Rainfall Distribution Coef.'!$B$7,$E69&lt;'Rainfall Distribution Coef.'!$B$8),'Rainfall Distribution Coef.'!D$7+('Rainfall Distribution Coef.'!D$8-'Rainfall Distribution Coef.'!D$7)*(($E69-'Rainfall Distribution Coef.'!$B$7)/('Rainfall Distribution Coef.'!$B$8-'Rainfall Distribution Coef.'!$B$7)),IF(AND($E69&gt;'Rainfall Distribution Coef.'!$B$8,$E69&lt;'Rainfall Distribution Coef.'!$B$9),'Rainfall Distribution Coef.'!D$8+('Rainfall Distribution Coef.'!D$9-'Rainfall Distribution Coef.'!D$8)*(($E69-'Rainfall Distribution Coef.'!$B$8)/('Rainfall Distribution Coef.'!$B$9-'Rainfall Distribution Coef.'!$B$8)),IF(AND($E69&gt;'Rainfall Distribution Coef.'!$B$9,$E69&lt;'Rainfall Distribution Coef.'!$B$10),'Rainfall Distribution Coef.'!D$9+('Rainfall Distribution Coef.'!D$10-'Rainfall Distribution Coef.'!D$9)*(($E69-'Rainfall Distribution Coef.'!$B$9)/('Rainfall Distribution Coef.'!$B$10-'Rainfall Distribution Coef.'!$B$9)),IF(AND($E69&gt;'Rainfall Distribution Coef.'!$B$10,$E69&lt;'Rainfall Distribution Coef.'!$B$11),'Rainfall Distribution Coef.'!D$10+('Rainfall Distribution Coef.'!D$11-'Rainfall Distribution Coef.'!D$10)*(($E69-'Rainfall Distribution Coef.'!$B$10)/('Rainfall Distribution Coef.'!$B$11-'Rainfall Distribution Coef.'!$B$10)),IF(AND($E69&gt;'Rainfall Distribution Coef.'!$B$11,$E69&lt;'Rainfall Distribution Coef.'!$B$12),'Rainfall Distribution Coef.'!D$11+('Rainfall Distribution Coef.'!D$12-'Rainfall Distribution Coef.'!D$11)*(($E69-'Rainfall Distribution Coef.'!$B$11)/('Rainfall Distribution Coef.'!$B$12-'Rainfall Distribution Coef.'!$B$11)),IF(AND($E69&gt;'Rainfall Distribution Coef.'!$B$12,$E69&lt;'Rainfall Distribution Coef.'!$B$13),'Rainfall Distribution Coef.'!D$12+('Rainfall Distribution Coef.'!D$13-'Rainfall Distribution Coef.'!D$12)*(($E69-'Rainfall Distribution Coef.'!$B$12)/('Rainfall Distribution Coef.'!$B$13-'Rainfall Distribution Coef.'!$B$12)),0))))))))+IF(AND($E69&gt;'Rainfall Distribution Coef.'!$B$13,$E69&lt;'Rainfall Distribution Coef.'!$B$14),'Rainfall Distribution Coef.'!D$13+('Rainfall Distribution Coef.'!D$14-'Rainfall Distribution Coef.'!D$13)*(($E69-'Rainfall Distribution Coef.'!$B$13)/('Rainfall Distribution Coef.'!$B$14-'Rainfall Distribution Coef.'!$B$13)),IF($E69='Rainfall Distribution Coef.'!$B$14,'Rainfall Distribution Coef.'!D$14,0))</f>
        <v>-0.5138545725598912</v>
      </c>
      <c r="M69" s="94">
        <f>(IF('Rainfall Distribution Coef.'!$B$7&gt;$E69,'Rainfall Distribution Coef.'!E$7,IF(AND($E69&gt;'Rainfall Distribution Coef.'!$B$7,$E69&lt;'Rainfall Distribution Coef.'!$B$8),'Rainfall Distribution Coef.'!E$7+('Rainfall Distribution Coef.'!E$8-'Rainfall Distribution Coef.'!E$7)*(($E69-'Rainfall Distribution Coef.'!$B$7)/('Rainfall Distribution Coef.'!$B$8-'Rainfall Distribution Coef.'!$B$7)),IF(AND($E69&gt;'Rainfall Distribution Coef.'!$B$8,$E69&lt;'Rainfall Distribution Coef.'!$B$9),'Rainfall Distribution Coef.'!E$8+('Rainfall Distribution Coef.'!E$9-'Rainfall Distribution Coef.'!E$8)*(($E69-'Rainfall Distribution Coef.'!$B$8)/('Rainfall Distribution Coef.'!$B$9-'Rainfall Distribution Coef.'!$B$8)),IF(AND($E69&gt;'Rainfall Distribution Coef.'!$B$9,$E69&lt;'Rainfall Distribution Coef.'!$B$10),'Rainfall Distribution Coef.'!E$9+('Rainfall Distribution Coef.'!E$10-'Rainfall Distribution Coef.'!E$9)*(($E69-'Rainfall Distribution Coef.'!$B$9)/('Rainfall Distribution Coef.'!$B$10-'Rainfall Distribution Coef.'!$B$9)),IF(AND($E69&gt;'Rainfall Distribution Coef.'!$B$10,$E69&lt;'Rainfall Distribution Coef.'!$B$11),'Rainfall Distribution Coef.'!E$10+('Rainfall Distribution Coef.'!E$11-'Rainfall Distribution Coef.'!E$10)*(($E69-'Rainfall Distribution Coef.'!$B$10)/('Rainfall Distribution Coef.'!$B$11-'Rainfall Distribution Coef.'!$B$10)),IF(AND($E69&gt;'Rainfall Distribution Coef.'!$B$11,$E69&lt;'Rainfall Distribution Coef.'!$B$12),'Rainfall Distribution Coef.'!E$11+('Rainfall Distribution Coef.'!E$12-'Rainfall Distribution Coef.'!E$11)*(($E69-'Rainfall Distribution Coef.'!$B$11)/('Rainfall Distribution Coef.'!$B$12-'Rainfall Distribution Coef.'!$B$11)),IF(AND($E69&gt;'Rainfall Distribution Coef.'!$B$12,$E69&lt;'Rainfall Distribution Coef.'!$B$13),'Rainfall Distribution Coef.'!E$12+('Rainfall Distribution Coef.'!E$13-'Rainfall Distribution Coef.'!E$12)*(($E69-'Rainfall Distribution Coef.'!$B$12)/('Rainfall Distribution Coef.'!$B$13-'Rainfall Distribution Coef.'!$B$12)),0))))))))+IF(AND($E69&gt;'Rainfall Distribution Coef.'!$B$13,$E69&lt;'Rainfall Distribution Coef.'!$B$14),'Rainfall Distribution Coef.'!E$13+('Rainfall Distribution Coef.'!E$14-'Rainfall Distribution Coef.'!E$13)*(($E69-'Rainfall Distribution Coef.'!$B$13)/('Rainfall Distribution Coef.'!$B$14-'Rainfall Distribution Coef.'!$B$13)),IF($E69='Rainfall Distribution Coef.'!$B$14,'Rainfall Distribution Coef.'!E$14,0))</f>
        <v>-0.11632117004937907</v>
      </c>
      <c r="N69" s="94">
        <f>(IF('Rainfall Distribution Coef.'!$B$16&gt;$E69,'Rainfall Distribution Coef.'!C$16,IF(AND($E69&gt;'Rainfall Distribution Coef.'!$B$16,$E69&lt;'Rainfall Distribution Coef.'!$B$17),'Rainfall Distribution Coef.'!C$16+('Rainfall Distribution Coef.'!C$17-'Rainfall Distribution Coef.'!C$16)*(($E69-'Rainfall Distribution Coef.'!$B$16)/('Rainfall Distribution Coef.'!$B$17-'Rainfall Distribution Coef.'!$B$16)),IF(AND($E69&gt;'Rainfall Distribution Coef.'!$B$17,$E69&lt;'Rainfall Distribution Coef.'!$B$18),'Rainfall Distribution Coef.'!C$17+('Rainfall Distribution Coef.'!C$18-'Rainfall Distribution Coef.'!C$17)*(($E69-'Rainfall Distribution Coef.'!$B$17)/('Rainfall Distribution Coef.'!$B$18-'Rainfall Distribution Coef.'!$B$17)),IF(AND($E69&gt;'Rainfall Distribution Coef.'!$B$18,$E69&lt;'Rainfall Distribution Coef.'!$B$19),'Rainfall Distribution Coef.'!C$18+('Rainfall Distribution Coef.'!C$19-'Rainfall Distribution Coef.'!C$18)*(($E69-'Rainfall Distribution Coef.'!$B$18)/('Rainfall Distribution Coef.'!$B$19-'Rainfall Distribution Coef.'!$B$18)),IF(AND($E69&gt;'Rainfall Distribution Coef.'!$B$19,$E69&lt;'Rainfall Distribution Coef.'!$B$20),'Rainfall Distribution Coef.'!C$19+('Rainfall Distribution Coef.'!C$20-'Rainfall Distribution Coef.'!C$19)*(($E69-'Rainfall Distribution Coef.'!$B$19)/('Rainfall Distribution Coef.'!$B$20-'Rainfall Distribution Coef.'!$B$19)),IF($E69='Rainfall Distribution Coef.'!$B$20,'Rainfall Distribution Coef.'!C$20,0)))))))</f>
        <v>2.0277896947169802</v>
      </c>
      <c r="O69" s="94">
        <f>(IF('Rainfall Distribution Coef.'!$B$16&gt;$E69,'Rainfall Distribution Coef.'!D$16,IF(AND($E69&gt;'Rainfall Distribution Coef.'!$B$16,$E69&lt;'Rainfall Distribution Coef.'!$B$17),'Rainfall Distribution Coef.'!D$16+('Rainfall Distribution Coef.'!D$17-'Rainfall Distribution Coef.'!D$16)*(($E69-'Rainfall Distribution Coef.'!$B$16)/('Rainfall Distribution Coef.'!$B$17-'Rainfall Distribution Coef.'!$B$16)),IF(AND($E69&gt;'Rainfall Distribution Coef.'!$B$17,$E69&lt;'Rainfall Distribution Coef.'!$B$18),'Rainfall Distribution Coef.'!D$17+('Rainfall Distribution Coef.'!D$18-'Rainfall Distribution Coef.'!D$17)*(($E69-'Rainfall Distribution Coef.'!$B$17)/('Rainfall Distribution Coef.'!$B$18-'Rainfall Distribution Coef.'!$B$17)),IF(AND($E69&gt;'Rainfall Distribution Coef.'!$B$18,$E69&lt;'Rainfall Distribution Coef.'!$B$19),'Rainfall Distribution Coef.'!D$18+('Rainfall Distribution Coef.'!D$19-'Rainfall Distribution Coef.'!D$18)*(($E69-'Rainfall Distribution Coef.'!$B$18)/('Rainfall Distribution Coef.'!$B$19-'Rainfall Distribution Coef.'!$B$18)),IF(AND($E69&gt;'Rainfall Distribution Coef.'!$B$19,$E69&lt;'Rainfall Distribution Coef.'!$B$20),'Rainfall Distribution Coef.'!D$19+('Rainfall Distribution Coef.'!D$20-'Rainfall Distribution Coef.'!D$19)*(($E69-'Rainfall Distribution Coef.'!$B$19)/('Rainfall Distribution Coef.'!$B$20-'Rainfall Distribution Coef.'!$B$19)),IF($E69='Rainfall Distribution Coef.'!$B$20,'Rainfall Distribution Coef.'!D$20,0)))))))</f>
        <v>-0.31442259153715307</v>
      </c>
      <c r="P69" s="94">
        <f>(IF('Rainfall Distribution Coef.'!$B$16&gt;$E69,'Rainfall Distribution Coef.'!E$16,IF(AND($E69&gt;'Rainfall Distribution Coef.'!$B$16,$E69&lt;'Rainfall Distribution Coef.'!$B$17),'Rainfall Distribution Coef.'!E$16+('Rainfall Distribution Coef.'!E$17-'Rainfall Distribution Coef.'!E$16)*(($E69-'Rainfall Distribution Coef.'!$B$16)/('Rainfall Distribution Coef.'!$B$17-'Rainfall Distribution Coef.'!$B$16)),IF(AND($E69&gt;'Rainfall Distribution Coef.'!$B$17,$E69&lt;'Rainfall Distribution Coef.'!$B$18),'Rainfall Distribution Coef.'!E$17+('Rainfall Distribution Coef.'!E$18-'Rainfall Distribution Coef.'!E$17)*(($E69-'Rainfall Distribution Coef.'!$B$17)/('Rainfall Distribution Coef.'!$B$18-'Rainfall Distribution Coef.'!$B$17)),IF(AND($E69&gt;'Rainfall Distribution Coef.'!$B$18,$E69&lt;'Rainfall Distribution Coef.'!$B$19),'Rainfall Distribution Coef.'!E$18+('Rainfall Distribution Coef.'!E$19-'Rainfall Distribution Coef.'!E$18)*(($E69-'Rainfall Distribution Coef.'!$B$18)/('Rainfall Distribution Coef.'!$B$19-'Rainfall Distribution Coef.'!$B$18)),IF(AND($E69&gt;'Rainfall Distribution Coef.'!$B$19,$E69&lt;'Rainfall Distribution Coef.'!$B$20),'Rainfall Distribution Coef.'!E$19+('Rainfall Distribution Coef.'!E$20-'Rainfall Distribution Coef.'!E$19)*(($E69-'Rainfall Distribution Coef.'!$B$19)/('Rainfall Distribution Coef.'!$B$20-'Rainfall Distribution Coef.'!$B$19)),IF($E69='Rainfall Distribution Coef.'!$B$20,'Rainfall Distribution Coef.'!E$20,0)))))))</f>
        <v>-0.13466852608728197</v>
      </c>
      <c r="Q69" s="95">
        <f>(IF('Rainfall Distribution Coef.'!$B$22&gt;$E69,'Rainfall Distribution Coef.'!C$22,IF(AND($E69&gt;'Rainfall Distribution Coef.'!$B$22,$E69&lt;'Rainfall Distribution Coef.'!$B$23),'Rainfall Distribution Coef.'!C$22+('Rainfall Distribution Coef.'!C$23-'Rainfall Distribution Coef.'!C$22)*(($E69-'Rainfall Distribution Coef.'!$B$22)/('Rainfall Distribution Coef.'!$B$23-'Rainfall Distribution Coef.'!$B$22)),IF(AND($E69&gt;'Rainfall Distribution Coef.'!$B$23,$E69&lt;'Rainfall Distribution Coef.'!$B$24),'Rainfall Distribution Coef.'!C$23+('Rainfall Distribution Coef.'!C$24-'Rainfall Distribution Coef.'!C$23)*(($E69-'Rainfall Distribution Coef.'!$B$23)/('Rainfall Distribution Coef.'!$B$24-'Rainfall Distribution Coef.'!$B$23)),IF(AND($E69&gt;'Rainfall Distribution Coef.'!$B$24,$E69&lt;'Rainfall Distribution Coef.'!$B$25),'Rainfall Distribution Coef.'!C$24+('Rainfall Distribution Coef.'!C$25-'Rainfall Distribution Coef.'!C$24)*(($E69-'Rainfall Distribution Coef.'!$B$24)/('Rainfall Distribution Coef.'!$B$25-'Rainfall Distribution Coef.'!$B$24)),IF(AND($E69&gt;'Rainfall Distribution Coef.'!$B$25,$E69&lt;'Rainfall Distribution Coef.'!$B$26),'Rainfall Distribution Coef.'!C$25+('Rainfall Distribution Coef.'!C$26-'Rainfall Distribution Coef.'!C$25)*(($E69-'Rainfall Distribution Coef.'!$B$25)/('Rainfall Distribution Coef.'!$B$26-'Rainfall Distribution Coef.'!$B$25)),IF(AND($E69&gt;'Rainfall Distribution Coef.'!$B$26,$E69&lt;'Rainfall Distribution Coef.'!$B$27),'Rainfall Distribution Coef.'!C$26+('Rainfall Distribution Coef.'!C$27-'Rainfall Distribution Coef.'!C$26)*(($E69-'Rainfall Distribution Coef.'!$B$26)/('Rainfall Distribution Coef.'!$B$27-'Rainfall Distribution Coef.'!$B$26)), IF($E69='Rainfall Distribution Coef.'!$B$27,'Rainfall Distribution Coef.'!C$27,0))))))))</f>
        <v>2.5513932233080632</v>
      </c>
      <c r="R69" s="95">
        <f>(IF('Rainfall Distribution Coef.'!$B$22&gt;$E69,'Rainfall Distribution Coef.'!D$22,IF(AND($E69&gt;'Rainfall Distribution Coef.'!$B$22,$E69&lt;'Rainfall Distribution Coef.'!$B$23),'Rainfall Distribution Coef.'!D$22+('Rainfall Distribution Coef.'!D$23-'Rainfall Distribution Coef.'!D$22)*(($E69-'Rainfall Distribution Coef.'!$B$22)/('Rainfall Distribution Coef.'!$B$23-'Rainfall Distribution Coef.'!$B$22)),IF(AND($E69&gt;'Rainfall Distribution Coef.'!$B$23,$E69&lt;'Rainfall Distribution Coef.'!$B$24),'Rainfall Distribution Coef.'!D$23+('Rainfall Distribution Coef.'!D$24-'Rainfall Distribution Coef.'!D$23)*(($E69-'Rainfall Distribution Coef.'!$B$23)/('Rainfall Distribution Coef.'!$B$24-'Rainfall Distribution Coef.'!$B$23)),IF(AND($E69&gt;'Rainfall Distribution Coef.'!$B$24,$E69&lt;'Rainfall Distribution Coef.'!$B$25),'Rainfall Distribution Coef.'!D$24+('Rainfall Distribution Coef.'!D$25-'Rainfall Distribution Coef.'!D$24)*(($E69-'Rainfall Distribution Coef.'!$B$24)/('Rainfall Distribution Coef.'!$B$25-'Rainfall Distribution Coef.'!$B$24)),IF(AND($E69&gt;'Rainfall Distribution Coef.'!$B$25,$E69&lt;'Rainfall Distribution Coef.'!$B$26),'Rainfall Distribution Coef.'!D$25+('Rainfall Distribution Coef.'!D$26-'Rainfall Distribution Coef.'!D$25)*(($E69-'Rainfall Distribution Coef.'!$B$25)/('Rainfall Distribution Coef.'!$B$26-'Rainfall Distribution Coef.'!$B$25)),IF(AND($E69&gt;'Rainfall Distribution Coef.'!$B$26,$E69&lt;'Rainfall Distribution Coef.'!$B$27),'Rainfall Distribution Coef.'!D$26+('Rainfall Distribution Coef.'!D$27-'Rainfall Distribution Coef.'!D$26)*(($E69-'Rainfall Distribution Coef.'!$B$26)/('Rainfall Distribution Coef.'!$B$27-'Rainfall Distribution Coef.'!$B$26)), IF($E69='Rainfall Distribution Coef.'!$B$27,'Rainfall Distribution Coef.'!D$27,0))))))))</f>
        <v>-0.61527565904168957</v>
      </c>
      <c r="S69" s="95">
        <f>(IF('Rainfall Distribution Coef.'!$B$22&gt;$E69,'Rainfall Distribution Coef.'!E$22,IF(AND($E69&gt;'Rainfall Distribution Coef.'!$B$22,$E69&lt;'Rainfall Distribution Coef.'!$B$23),'Rainfall Distribution Coef.'!E$22+('Rainfall Distribution Coef.'!E$23-'Rainfall Distribution Coef.'!E$22)*(($E69-'Rainfall Distribution Coef.'!$B$22)/('Rainfall Distribution Coef.'!$B$23-'Rainfall Distribution Coef.'!$B$22)),IF(AND($E69&gt;'Rainfall Distribution Coef.'!$B$23,$E69&lt;'Rainfall Distribution Coef.'!$B$24),'Rainfall Distribution Coef.'!E$23+('Rainfall Distribution Coef.'!E$24-'Rainfall Distribution Coef.'!E$23)*(($E69-'Rainfall Distribution Coef.'!$B$23)/('Rainfall Distribution Coef.'!$B$24-'Rainfall Distribution Coef.'!$B$23)),IF(AND($E69&gt;'Rainfall Distribution Coef.'!$B$24,$E69&lt;'Rainfall Distribution Coef.'!$B$25),'Rainfall Distribution Coef.'!E$24+('Rainfall Distribution Coef.'!E$25-'Rainfall Distribution Coef.'!E$24)*(($E69-'Rainfall Distribution Coef.'!$B$24)/('Rainfall Distribution Coef.'!$B$25-'Rainfall Distribution Coef.'!$B$24)),IF(AND($E69&gt;'Rainfall Distribution Coef.'!$B$25,$E69&lt;'Rainfall Distribution Coef.'!$B$26),'Rainfall Distribution Coef.'!E$25+('Rainfall Distribution Coef.'!E$26-'Rainfall Distribution Coef.'!E$25)*(($E69-'Rainfall Distribution Coef.'!$B$25)/('Rainfall Distribution Coef.'!$B$26-'Rainfall Distribution Coef.'!$B$25)),IF(AND($E69&gt;'Rainfall Distribution Coef.'!$B$26,$E69&lt;'Rainfall Distribution Coef.'!$B$27),'Rainfall Distribution Coef.'!E$26+('Rainfall Distribution Coef.'!E$27-'Rainfall Distribution Coef.'!E$26)*(($E69-'Rainfall Distribution Coef.'!$B$26)/('Rainfall Distribution Coef.'!$B$27-'Rainfall Distribution Coef.'!$B$26)), IF($E69='Rainfall Distribution Coef.'!$B$27,'Rainfall Distribution Coef.'!E$27,0))))))))</f>
        <v>-0.16303837877602856</v>
      </c>
      <c r="T69" s="95">
        <f>(IF('Rainfall Distribution Coef.'!$B$29&gt;$E69,'Rainfall Distribution Coef.'!C$29,IF(AND($E69&gt;'Rainfall Distribution Coef.'!$B$29,$E69&lt;'Rainfall Distribution Coef.'!$B$30),'Rainfall Distribution Coef.'!C$29+('Rainfall Distribution Coef.'!C$30-'Rainfall Distribution Coef.'!C$29)*(($E69-'Rainfall Distribution Coef.'!$B$29)/('Rainfall Distribution Coef.'!$B$30-'Rainfall Distribution Coef.'!$B$29)),IF(AND($E69&gt;'Rainfall Distribution Coef.'!$B$30,$E69&lt;'Rainfall Distribution Coef.'!$B$31),'Rainfall Distribution Coef.'!C$30+('Rainfall Distribution Coef.'!C$31-'Rainfall Distribution Coef.'!C$30)*(($E69-'Rainfall Distribution Coef.'!$B$30)/('Rainfall Distribution Coef.'!$B$31-'Rainfall Distribution Coef.'!$B$30)),IF(AND($E69&gt;'Rainfall Distribution Coef.'!$B$31,$E69&lt;'Rainfall Distribution Coef.'!$B$32),'Rainfall Distribution Coef.'!C$31+('Rainfall Distribution Coef.'!C$32-'Rainfall Distribution Coef.'!C$31)*(($E69-'Rainfall Distribution Coef.'!$B$31)/('Rainfall Distribution Coef.'!$B$32-'Rainfall Distribution Coef.'!$B$31)),IF(AND($E69&gt;'Rainfall Distribution Coef.'!$B$32,$E69&lt;'Rainfall Distribution Coef.'!$B$33),'Rainfall Distribution Coef.'!C$32+('Rainfall Distribution Coef.'!C$33-'Rainfall Distribution Coef.'!C$32)*(($E69-'Rainfall Distribution Coef.'!$B$32)/('Rainfall Distribution Coef.'!$B$33-'Rainfall Distribution Coef.'!$B$32)),IF(AND($E69&gt;'Rainfall Distribution Coef.'!$B$33,$E69&lt;'Rainfall Distribution Coef.'!$B$34),'Rainfall Distribution Coef.'!C$33+('Rainfall Distribution Coef.'!C$34-'Rainfall Distribution Coef.'!C$33)*(($E69-'Rainfall Distribution Coef.'!$B$33)/('Rainfall Distribution Coef.'!$B$34-'Rainfall Distribution Coef.'!$B$33)), IF($E69='Rainfall Distribution Coef.'!$B$34,'Rainfall Distribution Coef.'!C$34,0))))))))</f>
        <v>2.4715634733267771</v>
      </c>
      <c r="U69" s="95">
        <f>(IF('Rainfall Distribution Coef.'!$B$29&gt;$E69,'Rainfall Distribution Coef.'!D$29,IF(AND($E69&gt;'Rainfall Distribution Coef.'!$B$29,$E69&lt;'Rainfall Distribution Coef.'!$B$30),'Rainfall Distribution Coef.'!D$29+('Rainfall Distribution Coef.'!D$30-'Rainfall Distribution Coef.'!D$29)*(($E69-'Rainfall Distribution Coef.'!$B$29)/('Rainfall Distribution Coef.'!$B$30-'Rainfall Distribution Coef.'!$B$29)),IF(AND($E69&gt;'Rainfall Distribution Coef.'!$B$30,$E69&lt;'Rainfall Distribution Coef.'!$B$31),'Rainfall Distribution Coef.'!D$30+('Rainfall Distribution Coef.'!D$31-'Rainfall Distribution Coef.'!D$30)*(($E69-'Rainfall Distribution Coef.'!$B$30)/('Rainfall Distribution Coef.'!$B$31-'Rainfall Distribution Coef.'!$B$30)),IF(AND($E69&gt;'Rainfall Distribution Coef.'!$B$31,$E69&lt;'Rainfall Distribution Coef.'!$B$32),'Rainfall Distribution Coef.'!D$31+('Rainfall Distribution Coef.'!D$32-'Rainfall Distribution Coef.'!D$31)*(($E69-'Rainfall Distribution Coef.'!$B$31)/('Rainfall Distribution Coef.'!$B$32-'Rainfall Distribution Coef.'!$B$31)),IF(AND($E69&gt;'Rainfall Distribution Coef.'!$B$32,$E69&lt;'Rainfall Distribution Coef.'!$B$33),'Rainfall Distribution Coef.'!D$32+('Rainfall Distribution Coef.'!D$33-'Rainfall Distribution Coef.'!D$32)*(($E69-'Rainfall Distribution Coef.'!$B$32)/('Rainfall Distribution Coef.'!$B$33-'Rainfall Distribution Coef.'!$B$32)),IF(AND($E69&gt;'Rainfall Distribution Coef.'!$B$33,$E69&lt;'Rainfall Distribution Coef.'!$B$34),'Rainfall Distribution Coef.'!D$33+('Rainfall Distribution Coef.'!D$34-'Rainfall Distribution Coef.'!D$33)*(($E69-'Rainfall Distribution Coef.'!$B$33)/('Rainfall Distribution Coef.'!$B$34-'Rainfall Distribution Coef.'!$B$33)), IF($E69='Rainfall Distribution Coef.'!$B$34,'Rainfall Distribution Coef.'!D$34,0))))))))</f>
        <v>-0.51834502585109876</v>
      </c>
      <c r="V69" s="95">
        <f>(IF('Rainfall Distribution Coef.'!$B$29&gt;$E69,'Rainfall Distribution Coef.'!E$29,IF(AND($E69&gt;'Rainfall Distribution Coef.'!$B$29,$E69&lt;'Rainfall Distribution Coef.'!$B$30),'Rainfall Distribution Coef.'!E$29+('Rainfall Distribution Coef.'!E$30-'Rainfall Distribution Coef.'!E$29)*(($E69-'Rainfall Distribution Coef.'!$B$29)/('Rainfall Distribution Coef.'!$B$30-'Rainfall Distribution Coef.'!$B$29)),IF(AND($E69&gt;'Rainfall Distribution Coef.'!$B$30,$E69&lt;'Rainfall Distribution Coef.'!$B$31),'Rainfall Distribution Coef.'!E$30+('Rainfall Distribution Coef.'!E$31-'Rainfall Distribution Coef.'!E$30)*(($E69-'Rainfall Distribution Coef.'!$B$30)/('Rainfall Distribution Coef.'!$B$31-'Rainfall Distribution Coef.'!$B$30)),IF(AND($E69&gt;'Rainfall Distribution Coef.'!$B$31,$E69&lt;'Rainfall Distribution Coef.'!$B$32),'Rainfall Distribution Coef.'!E$31+('Rainfall Distribution Coef.'!E$32-'Rainfall Distribution Coef.'!E$31)*(($E69-'Rainfall Distribution Coef.'!$B$31)/('Rainfall Distribution Coef.'!$B$32-'Rainfall Distribution Coef.'!$B$31)),IF(AND($E69&gt;'Rainfall Distribution Coef.'!$B$32,$E69&lt;'Rainfall Distribution Coef.'!$B$33),'Rainfall Distribution Coef.'!E$32+('Rainfall Distribution Coef.'!E$33-'Rainfall Distribution Coef.'!E$32)*(($E69-'Rainfall Distribution Coef.'!$B$32)/('Rainfall Distribution Coef.'!$B$33-'Rainfall Distribution Coef.'!$B$32)),IF(AND($E69&gt;'Rainfall Distribution Coef.'!$B$33,$E69&lt;'Rainfall Distribution Coef.'!$B$34),'Rainfall Distribution Coef.'!E$33+('Rainfall Distribution Coef.'!E$34-'Rainfall Distribution Coef.'!E$33)*(($E69-'Rainfall Distribution Coef.'!$B$33)/('Rainfall Distribution Coef.'!$B$34-'Rainfall Distribution Coef.'!$B$33)), IF($E69='Rainfall Distribution Coef.'!$B$34,'Rainfall Distribution Coef.'!E$34,0))))))))</f>
        <v>-0.17002809476240996</v>
      </c>
    </row>
    <row r="70" spans="1:22" ht="12.75" x14ac:dyDescent="0.2">
      <c r="B70" s="90">
        <v>100</v>
      </c>
      <c r="C70" s="86">
        <f>F39</f>
        <v>8.3000000000000007</v>
      </c>
      <c r="D70" s="86">
        <f>$E$45</f>
        <v>0.76050499340493694</v>
      </c>
      <c r="E70" s="86">
        <f>IF(D70/C70&gt;0.5,0.5,D70/C70)</f>
        <v>9.1627107639149025E-2</v>
      </c>
      <c r="F70" s="91">
        <f>IF($A$63='Rainfall Distribution Coef.'!$K$2,10^(K70+(L70*LOG($E$28))+(M70*(LOG($E$28))^2)),IF($A$63='Rainfall Distribution Coef.'!$K$3,10^(N70+(O70*LOG($E$28))+(P70*(LOG($E$28))^2)),IF($A$63='Rainfall Distribution Coef.'!$K$4,10^(Q70+(R70*LOG($E$28))+(S70*(LOG($E$28))^2)),IF($A$63='Rainfall Distribution Coef.'!$K$5,10^(T70+(U70*LOG($E$28))+(V70*(LOG($E$28))^2)),"UPDATE"))))</f>
        <v>403.64872606303015</v>
      </c>
      <c r="G70" s="75" t="s">
        <v>89</v>
      </c>
      <c r="H70" s="82"/>
      <c r="K70" s="94">
        <f>(IF('Rainfall Distribution Coef.'!$B$7&gt;$E70,'Rainfall Distribution Coef.'!C$7,IF(AND($E70&gt;'Rainfall Distribution Coef.'!$B$7,$E70&lt;'Rainfall Distribution Coef.'!$B$8),'Rainfall Distribution Coef.'!C$7+('Rainfall Distribution Coef.'!C$8-'Rainfall Distribution Coef.'!C$7)*(($E70-'Rainfall Distribution Coef.'!$B$7)/('Rainfall Distribution Coef.'!$B$8-'Rainfall Distribution Coef.'!$B$7)),IF(AND($E70&gt;'Rainfall Distribution Coef.'!$B$8,$E70&lt;'Rainfall Distribution Coef.'!$B$9),'Rainfall Distribution Coef.'!C$8+('Rainfall Distribution Coef.'!C$9-'Rainfall Distribution Coef.'!C$8)*(($E70-'Rainfall Distribution Coef.'!$B$8)/('Rainfall Distribution Coef.'!$B$9-'Rainfall Distribution Coef.'!$B$8)),IF(AND($E70&gt;'Rainfall Distribution Coef.'!$B$9,$E70&lt;'Rainfall Distribution Coef.'!$B$10),'Rainfall Distribution Coef.'!C$9+('Rainfall Distribution Coef.'!C$10-'Rainfall Distribution Coef.'!C$9)*(($E70-'Rainfall Distribution Coef.'!$B$9)/('Rainfall Distribution Coef.'!$B$10-'Rainfall Distribution Coef.'!$B$9)),IF(AND($E70&gt;'Rainfall Distribution Coef.'!$B$10,$E70&lt;'Rainfall Distribution Coef.'!$B$11),'Rainfall Distribution Coef.'!C$10+('Rainfall Distribution Coef.'!C$11-'Rainfall Distribution Coef.'!C$10)*(($E70-'Rainfall Distribution Coef.'!$B$10)/('Rainfall Distribution Coef.'!$B$11-'Rainfall Distribution Coef.'!$B$10)),IF(AND($E70&gt;'Rainfall Distribution Coef.'!$B$11,$E70&lt;'Rainfall Distribution Coef.'!$B$12),'Rainfall Distribution Coef.'!C$11+('Rainfall Distribution Coef.'!C$12-'Rainfall Distribution Coef.'!C$11)*(($E70-'Rainfall Distribution Coef.'!$B$11)/('Rainfall Distribution Coef.'!$B$12-'Rainfall Distribution Coef.'!$B$11)),IF(AND($E70&gt;'Rainfall Distribution Coef.'!$B$12,$E70&lt;'Rainfall Distribution Coef.'!$B$13),'Rainfall Distribution Coef.'!C$12+('Rainfall Distribution Coef.'!C$13-'Rainfall Distribution Coef.'!C$12)*(($E70-'Rainfall Distribution Coef.'!$B$12)/('Rainfall Distribution Coef.'!$B$13-'Rainfall Distribution Coef.'!$B$12)),0))))))))+IF(AND($E70&gt;'Rainfall Distribution Coef.'!$B$13,$E70&lt;'Rainfall Distribution Coef.'!$B$14),'Rainfall Distribution Coef.'!C$13+('Rainfall Distribution Coef.'!C$14-'Rainfall Distribution Coef.'!C$13)*(($E70-'Rainfall Distribution Coef.'!$B$13)/('Rainfall Distribution Coef.'!$B$14-'Rainfall Distribution Coef.'!$B$13)),IF($E70='Rainfall Distribution Coef.'!$B$14,'Rainfall Distribution Coef.'!C$14,0))</f>
        <v>2.3054999999999999</v>
      </c>
      <c r="L70" s="94">
        <f>(IF('Rainfall Distribution Coef.'!$B$7&gt;$E70,'Rainfall Distribution Coef.'!D$7,IF(AND($E70&gt;'Rainfall Distribution Coef.'!$B$7,$E70&lt;'Rainfall Distribution Coef.'!$B$8),'Rainfall Distribution Coef.'!D$7+('Rainfall Distribution Coef.'!D$8-'Rainfall Distribution Coef.'!D$7)*(($E70-'Rainfall Distribution Coef.'!$B$7)/('Rainfall Distribution Coef.'!$B$8-'Rainfall Distribution Coef.'!$B$7)),IF(AND($E70&gt;'Rainfall Distribution Coef.'!$B$8,$E70&lt;'Rainfall Distribution Coef.'!$B$9),'Rainfall Distribution Coef.'!D$8+('Rainfall Distribution Coef.'!D$9-'Rainfall Distribution Coef.'!D$8)*(($E70-'Rainfall Distribution Coef.'!$B$8)/('Rainfall Distribution Coef.'!$B$9-'Rainfall Distribution Coef.'!$B$8)),IF(AND($E70&gt;'Rainfall Distribution Coef.'!$B$9,$E70&lt;'Rainfall Distribution Coef.'!$B$10),'Rainfall Distribution Coef.'!D$9+('Rainfall Distribution Coef.'!D$10-'Rainfall Distribution Coef.'!D$9)*(($E70-'Rainfall Distribution Coef.'!$B$9)/('Rainfall Distribution Coef.'!$B$10-'Rainfall Distribution Coef.'!$B$9)),IF(AND($E70&gt;'Rainfall Distribution Coef.'!$B$10,$E70&lt;'Rainfall Distribution Coef.'!$B$11),'Rainfall Distribution Coef.'!D$10+('Rainfall Distribution Coef.'!D$11-'Rainfall Distribution Coef.'!D$10)*(($E70-'Rainfall Distribution Coef.'!$B$10)/('Rainfall Distribution Coef.'!$B$11-'Rainfall Distribution Coef.'!$B$10)),IF(AND($E70&gt;'Rainfall Distribution Coef.'!$B$11,$E70&lt;'Rainfall Distribution Coef.'!$B$12),'Rainfall Distribution Coef.'!D$11+('Rainfall Distribution Coef.'!D$12-'Rainfall Distribution Coef.'!D$11)*(($E70-'Rainfall Distribution Coef.'!$B$11)/('Rainfall Distribution Coef.'!$B$12-'Rainfall Distribution Coef.'!$B$11)),IF(AND($E70&gt;'Rainfall Distribution Coef.'!$B$12,$E70&lt;'Rainfall Distribution Coef.'!$B$13),'Rainfall Distribution Coef.'!D$12+('Rainfall Distribution Coef.'!D$13-'Rainfall Distribution Coef.'!D$12)*(($E70-'Rainfall Distribution Coef.'!$B$12)/('Rainfall Distribution Coef.'!$B$13-'Rainfall Distribution Coef.'!$B$12)),0))))))))+IF(AND($E70&gt;'Rainfall Distribution Coef.'!$B$13,$E70&lt;'Rainfall Distribution Coef.'!$B$14),'Rainfall Distribution Coef.'!D$13+('Rainfall Distribution Coef.'!D$14-'Rainfall Distribution Coef.'!D$13)*(($E70-'Rainfall Distribution Coef.'!$B$13)/('Rainfall Distribution Coef.'!$B$14-'Rainfall Distribution Coef.'!$B$13)),IF($E70='Rainfall Distribution Coef.'!$B$14,'Rainfall Distribution Coef.'!D$14,0))</f>
        <v>-0.51429000000000002</v>
      </c>
      <c r="M70" s="94">
        <f>(IF('Rainfall Distribution Coef.'!$B$7&gt;$E70,'Rainfall Distribution Coef.'!E$7,IF(AND($E70&gt;'Rainfall Distribution Coef.'!$B$7,$E70&lt;'Rainfall Distribution Coef.'!$B$8),'Rainfall Distribution Coef.'!E$7+('Rainfall Distribution Coef.'!E$8-'Rainfall Distribution Coef.'!E$7)*(($E70-'Rainfall Distribution Coef.'!$B$7)/('Rainfall Distribution Coef.'!$B$8-'Rainfall Distribution Coef.'!$B$7)),IF(AND($E70&gt;'Rainfall Distribution Coef.'!$B$8,$E70&lt;'Rainfall Distribution Coef.'!$B$9),'Rainfall Distribution Coef.'!E$8+('Rainfall Distribution Coef.'!E$9-'Rainfall Distribution Coef.'!E$8)*(($E70-'Rainfall Distribution Coef.'!$B$8)/('Rainfall Distribution Coef.'!$B$9-'Rainfall Distribution Coef.'!$B$8)),IF(AND($E70&gt;'Rainfall Distribution Coef.'!$B$9,$E70&lt;'Rainfall Distribution Coef.'!$B$10),'Rainfall Distribution Coef.'!E$9+('Rainfall Distribution Coef.'!E$10-'Rainfall Distribution Coef.'!E$9)*(($E70-'Rainfall Distribution Coef.'!$B$9)/('Rainfall Distribution Coef.'!$B$10-'Rainfall Distribution Coef.'!$B$9)),IF(AND($E70&gt;'Rainfall Distribution Coef.'!$B$10,$E70&lt;'Rainfall Distribution Coef.'!$B$11),'Rainfall Distribution Coef.'!E$10+('Rainfall Distribution Coef.'!E$11-'Rainfall Distribution Coef.'!E$10)*(($E70-'Rainfall Distribution Coef.'!$B$10)/('Rainfall Distribution Coef.'!$B$11-'Rainfall Distribution Coef.'!$B$10)),IF(AND($E70&gt;'Rainfall Distribution Coef.'!$B$11,$E70&lt;'Rainfall Distribution Coef.'!$B$12),'Rainfall Distribution Coef.'!E$11+('Rainfall Distribution Coef.'!E$12-'Rainfall Distribution Coef.'!E$11)*(($E70-'Rainfall Distribution Coef.'!$B$11)/('Rainfall Distribution Coef.'!$B$12-'Rainfall Distribution Coef.'!$B$11)),IF(AND($E70&gt;'Rainfall Distribution Coef.'!$B$12,$E70&lt;'Rainfall Distribution Coef.'!$B$13),'Rainfall Distribution Coef.'!E$12+('Rainfall Distribution Coef.'!E$13-'Rainfall Distribution Coef.'!E$12)*(($E70-'Rainfall Distribution Coef.'!$B$12)/('Rainfall Distribution Coef.'!$B$13-'Rainfall Distribution Coef.'!$B$12)),0))))))))+IF(AND($E70&gt;'Rainfall Distribution Coef.'!$B$13,$E70&lt;'Rainfall Distribution Coef.'!$B$14),'Rainfall Distribution Coef.'!E$13+('Rainfall Distribution Coef.'!E$14-'Rainfall Distribution Coef.'!E$13)*(($E70-'Rainfall Distribution Coef.'!$B$13)/('Rainfall Distribution Coef.'!$B$14-'Rainfall Distribution Coef.'!$B$13)),IF($E70='Rainfall Distribution Coef.'!$B$14,'Rainfall Distribution Coef.'!E$14,0))</f>
        <v>-0.11749999999999999</v>
      </c>
      <c r="N70" s="94">
        <f>(IF('Rainfall Distribution Coef.'!$B$16&gt;$E70,'Rainfall Distribution Coef.'!C$16,IF(AND($E70&gt;'Rainfall Distribution Coef.'!$B$16,$E70&lt;'Rainfall Distribution Coef.'!$B$17),'Rainfall Distribution Coef.'!C$16+('Rainfall Distribution Coef.'!C$17-'Rainfall Distribution Coef.'!C$16)*(($E70-'Rainfall Distribution Coef.'!$B$16)/('Rainfall Distribution Coef.'!$B$17-'Rainfall Distribution Coef.'!$B$16)),IF(AND($E70&gt;'Rainfall Distribution Coef.'!$B$17,$E70&lt;'Rainfall Distribution Coef.'!$B$18),'Rainfall Distribution Coef.'!C$17+('Rainfall Distribution Coef.'!C$18-'Rainfall Distribution Coef.'!C$17)*(($E70-'Rainfall Distribution Coef.'!$B$17)/('Rainfall Distribution Coef.'!$B$18-'Rainfall Distribution Coef.'!$B$17)),IF(AND($E70&gt;'Rainfall Distribution Coef.'!$B$18,$E70&lt;'Rainfall Distribution Coef.'!$B$19),'Rainfall Distribution Coef.'!C$18+('Rainfall Distribution Coef.'!C$19-'Rainfall Distribution Coef.'!C$18)*(($E70-'Rainfall Distribution Coef.'!$B$18)/('Rainfall Distribution Coef.'!$B$19-'Rainfall Distribution Coef.'!$B$18)),IF(AND($E70&gt;'Rainfall Distribution Coef.'!$B$19,$E70&lt;'Rainfall Distribution Coef.'!$B$20),'Rainfall Distribution Coef.'!C$19+('Rainfall Distribution Coef.'!C$20-'Rainfall Distribution Coef.'!C$19)*(($E70-'Rainfall Distribution Coef.'!$B$19)/('Rainfall Distribution Coef.'!$B$20-'Rainfall Distribution Coef.'!$B$19)),IF($E70='Rainfall Distribution Coef.'!$B$20,'Rainfall Distribution Coef.'!C$20,0)))))))</f>
        <v>2.0325000000000002</v>
      </c>
      <c r="O70" s="94">
        <f>(IF('Rainfall Distribution Coef.'!$B$16&gt;$E70,'Rainfall Distribution Coef.'!D$16,IF(AND($E70&gt;'Rainfall Distribution Coef.'!$B$16,$E70&lt;'Rainfall Distribution Coef.'!$B$17),'Rainfall Distribution Coef.'!D$16+('Rainfall Distribution Coef.'!D$17-'Rainfall Distribution Coef.'!D$16)*(($E70-'Rainfall Distribution Coef.'!$B$16)/('Rainfall Distribution Coef.'!$B$17-'Rainfall Distribution Coef.'!$B$16)),IF(AND($E70&gt;'Rainfall Distribution Coef.'!$B$17,$E70&lt;'Rainfall Distribution Coef.'!$B$18),'Rainfall Distribution Coef.'!D$17+('Rainfall Distribution Coef.'!D$18-'Rainfall Distribution Coef.'!D$17)*(($E70-'Rainfall Distribution Coef.'!$B$17)/('Rainfall Distribution Coef.'!$B$18-'Rainfall Distribution Coef.'!$B$17)),IF(AND($E70&gt;'Rainfall Distribution Coef.'!$B$18,$E70&lt;'Rainfall Distribution Coef.'!$B$19),'Rainfall Distribution Coef.'!D$18+('Rainfall Distribution Coef.'!D$19-'Rainfall Distribution Coef.'!D$18)*(($E70-'Rainfall Distribution Coef.'!$B$18)/('Rainfall Distribution Coef.'!$B$19-'Rainfall Distribution Coef.'!$B$18)),IF(AND($E70&gt;'Rainfall Distribution Coef.'!$B$19,$E70&lt;'Rainfall Distribution Coef.'!$B$20),'Rainfall Distribution Coef.'!D$19+('Rainfall Distribution Coef.'!D$20-'Rainfall Distribution Coef.'!D$19)*(($E70-'Rainfall Distribution Coef.'!$B$19)/('Rainfall Distribution Coef.'!$B$20-'Rainfall Distribution Coef.'!$B$19)),IF($E70='Rainfall Distribution Coef.'!$B$20,'Rainfall Distribution Coef.'!D$20,0)))))))</f>
        <v>-0.31583</v>
      </c>
      <c r="P70" s="94">
        <f>(IF('Rainfall Distribution Coef.'!$B$16&gt;$E70,'Rainfall Distribution Coef.'!E$16,IF(AND($E70&gt;'Rainfall Distribution Coef.'!$B$16,$E70&lt;'Rainfall Distribution Coef.'!$B$17),'Rainfall Distribution Coef.'!E$16+('Rainfall Distribution Coef.'!E$17-'Rainfall Distribution Coef.'!E$16)*(($E70-'Rainfall Distribution Coef.'!$B$16)/('Rainfall Distribution Coef.'!$B$17-'Rainfall Distribution Coef.'!$B$16)),IF(AND($E70&gt;'Rainfall Distribution Coef.'!$B$17,$E70&lt;'Rainfall Distribution Coef.'!$B$18),'Rainfall Distribution Coef.'!E$17+('Rainfall Distribution Coef.'!E$18-'Rainfall Distribution Coef.'!E$17)*(($E70-'Rainfall Distribution Coef.'!$B$17)/('Rainfall Distribution Coef.'!$B$18-'Rainfall Distribution Coef.'!$B$17)),IF(AND($E70&gt;'Rainfall Distribution Coef.'!$B$18,$E70&lt;'Rainfall Distribution Coef.'!$B$19),'Rainfall Distribution Coef.'!E$18+('Rainfall Distribution Coef.'!E$19-'Rainfall Distribution Coef.'!E$18)*(($E70-'Rainfall Distribution Coef.'!$B$18)/('Rainfall Distribution Coef.'!$B$19-'Rainfall Distribution Coef.'!$B$18)),IF(AND($E70&gt;'Rainfall Distribution Coef.'!$B$19,$E70&lt;'Rainfall Distribution Coef.'!$B$20),'Rainfall Distribution Coef.'!E$19+('Rainfall Distribution Coef.'!E$20-'Rainfall Distribution Coef.'!E$19)*(($E70-'Rainfall Distribution Coef.'!$B$19)/('Rainfall Distribution Coef.'!$B$20-'Rainfall Distribution Coef.'!$B$19)),IF($E70='Rainfall Distribution Coef.'!$B$20,'Rainfall Distribution Coef.'!E$20,0)))))))</f>
        <v>-0.13747999999999999</v>
      </c>
      <c r="Q70" s="95">
        <f>(IF('Rainfall Distribution Coef.'!$B$22&gt;$E70,'Rainfall Distribution Coef.'!C$22,IF(AND($E70&gt;'Rainfall Distribution Coef.'!$B$22,$E70&lt;'Rainfall Distribution Coef.'!$B$23),'Rainfall Distribution Coef.'!C$22+('Rainfall Distribution Coef.'!C$23-'Rainfall Distribution Coef.'!C$22)*(($E70-'Rainfall Distribution Coef.'!$B$22)/('Rainfall Distribution Coef.'!$B$23-'Rainfall Distribution Coef.'!$B$22)),IF(AND($E70&gt;'Rainfall Distribution Coef.'!$B$23,$E70&lt;'Rainfall Distribution Coef.'!$B$24),'Rainfall Distribution Coef.'!C$23+('Rainfall Distribution Coef.'!C$24-'Rainfall Distribution Coef.'!C$23)*(($E70-'Rainfall Distribution Coef.'!$B$23)/('Rainfall Distribution Coef.'!$B$24-'Rainfall Distribution Coef.'!$B$23)),IF(AND($E70&gt;'Rainfall Distribution Coef.'!$B$24,$E70&lt;'Rainfall Distribution Coef.'!$B$25),'Rainfall Distribution Coef.'!C$24+('Rainfall Distribution Coef.'!C$25-'Rainfall Distribution Coef.'!C$24)*(($E70-'Rainfall Distribution Coef.'!$B$24)/('Rainfall Distribution Coef.'!$B$25-'Rainfall Distribution Coef.'!$B$24)),IF(AND($E70&gt;'Rainfall Distribution Coef.'!$B$25,$E70&lt;'Rainfall Distribution Coef.'!$B$26),'Rainfall Distribution Coef.'!C$25+('Rainfall Distribution Coef.'!C$26-'Rainfall Distribution Coef.'!C$25)*(($E70-'Rainfall Distribution Coef.'!$B$25)/('Rainfall Distribution Coef.'!$B$26-'Rainfall Distribution Coef.'!$B$25)),IF(AND($E70&gt;'Rainfall Distribution Coef.'!$B$26,$E70&lt;'Rainfall Distribution Coef.'!$B$27),'Rainfall Distribution Coef.'!C$26+('Rainfall Distribution Coef.'!C$27-'Rainfall Distribution Coef.'!C$26)*(($E70-'Rainfall Distribution Coef.'!$B$26)/('Rainfall Distribution Coef.'!$B$27-'Rainfall Distribution Coef.'!$B$26)), IF($E70='Rainfall Distribution Coef.'!$B$27,'Rainfall Distribution Coef.'!C$27,0))))))))</f>
        <v>2.5532300000000001</v>
      </c>
      <c r="R70" s="95">
        <f>(IF('Rainfall Distribution Coef.'!$B$22&gt;$E70,'Rainfall Distribution Coef.'!D$22,IF(AND($E70&gt;'Rainfall Distribution Coef.'!$B$22,$E70&lt;'Rainfall Distribution Coef.'!$B$23),'Rainfall Distribution Coef.'!D$22+('Rainfall Distribution Coef.'!D$23-'Rainfall Distribution Coef.'!D$22)*(($E70-'Rainfall Distribution Coef.'!$B$22)/('Rainfall Distribution Coef.'!$B$23-'Rainfall Distribution Coef.'!$B$22)),IF(AND($E70&gt;'Rainfall Distribution Coef.'!$B$23,$E70&lt;'Rainfall Distribution Coef.'!$B$24),'Rainfall Distribution Coef.'!D$23+('Rainfall Distribution Coef.'!D$24-'Rainfall Distribution Coef.'!D$23)*(($E70-'Rainfall Distribution Coef.'!$B$23)/('Rainfall Distribution Coef.'!$B$24-'Rainfall Distribution Coef.'!$B$23)),IF(AND($E70&gt;'Rainfall Distribution Coef.'!$B$24,$E70&lt;'Rainfall Distribution Coef.'!$B$25),'Rainfall Distribution Coef.'!D$24+('Rainfall Distribution Coef.'!D$25-'Rainfall Distribution Coef.'!D$24)*(($E70-'Rainfall Distribution Coef.'!$B$24)/('Rainfall Distribution Coef.'!$B$25-'Rainfall Distribution Coef.'!$B$24)),IF(AND($E70&gt;'Rainfall Distribution Coef.'!$B$25,$E70&lt;'Rainfall Distribution Coef.'!$B$26),'Rainfall Distribution Coef.'!D$25+('Rainfall Distribution Coef.'!D$26-'Rainfall Distribution Coef.'!D$25)*(($E70-'Rainfall Distribution Coef.'!$B$25)/('Rainfall Distribution Coef.'!$B$26-'Rainfall Distribution Coef.'!$B$25)),IF(AND($E70&gt;'Rainfall Distribution Coef.'!$B$26,$E70&lt;'Rainfall Distribution Coef.'!$B$27),'Rainfall Distribution Coef.'!D$26+('Rainfall Distribution Coef.'!D$27-'Rainfall Distribution Coef.'!D$26)*(($E70-'Rainfall Distribution Coef.'!$B$26)/('Rainfall Distribution Coef.'!$B$27-'Rainfall Distribution Coef.'!$B$26)), IF($E70='Rainfall Distribution Coef.'!$B$27,'Rainfall Distribution Coef.'!D$27,0))))))))</f>
        <v>-0.61512</v>
      </c>
      <c r="S70" s="95">
        <f>(IF('Rainfall Distribution Coef.'!$B$22&gt;$E70,'Rainfall Distribution Coef.'!E$22,IF(AND($E70&gt;'Rainfall Distribution Coef.'!$B$22,$E70&lt;'Rainfall Distribution Coef.'!$B$23),'Rainfall Distribution Coef.'!E$22+('Rainfall Distribution Coef.'!E$23-'Rainfall Distribution Coef.'!E$22)*(($E70-'Rainfall Distribution Coef.'!$B$22)/('Rainfall Distribution Coef.'!$B$23-'Rainfall Distribution Coef.'!$B$22)),IF(AND($E70&gt;'Rainfall Distribution Coef.'!$B$23,$E70&lt;'Rainfall Distribution Coef.'!$B$24),'Rainfall Distribution Coef.'!E$23+('Rainfall Distribution Coef.'!E$24-'Rainfall Distribution Coef.'!E$23)*(($E70-'Rainfall Distribution Coef.'!$B$23)/('Rainfall Distribution Coef.'!$B$24-'Rainfall Distribution Coef.'!$B$23)),IF(AND($E70&gt;'Rainfall Distribution Coef.'!$B$24,$E70&lt;'Rainfall Distribution Coef.'!$B$25),'Rainfall Distribution Coef.'!E$24+('Rainfall Distribution Coef.'!E$25-'Rainfall Distribution Coef.'!E$24)*(($E70-'Rainfall Distribution Coef.'!$B$24)/('Rainfall Distribution Coef.'!$B$25-'Rainfall Distribution Coef.'!$B$24)),IF(AND($E70&gt;'Rainfall Distribution Coef.'!$B$25,$E70&lt;'Rainfall Distribution Coef.'!$B$26),'Rainfall Distribution Coef.'!E$25+('Rainfall Distribution Coef.'!E$26-'Rainfall Distribution Coef.'!E$25)*(($E70-'Rainfall Distribution Coef.'!$B$25)/('Rainfall Distribution Coef.'!$B$26-'Rainfall Distribution Coef.'!$B$25)),IF(AND($E70&gt;'Rainfall Distribution Coef.'!$B$26,$E70&lt;'Rainfall Distribution Coef.'!$B$27),'Rainfall Distribution Coef.'!E$26+('Rainfall Distribution Coef.'!E$27-'Rainfall Distribution Coef.'!E$26)*(($E70-'Rainfall Distribution Coef.'!$B$26)/('Rainfall Distribution Coef.'!$B$27-'Rainfall Distribution Coef.'!$B$26)), IF($E70='Rainfall Distribution Coef.'!$B$27,'Rainfall Distribution Coef.'!E$27,0))))))))</f>
        <v>-0.16403000000000001</v>
      </c>
      <c r="T70" s="95">
        <f>(IF('Rainfall Distribution Coef.'!$B$29&gt;$E70,'Rainfall Distribution Coef.'!C$29,IF(AND($E70&gt;'Rainfall Distribution Coef.'!$B$29,$E70&lt;'Rainfall Distribution Coef.'!$B$30),'Rainfall Distribution Coef.'!C$29+('Rainfall Distribution Coef.'!C$30-'Rainfall Distribution Coef.'!C$29)*(($E70-'Rainfall Distribution Coef.'!$B$29)/('Rainfall Distribution Coef.'!$B$30-'Rainfall Distribution Coef.'!$B$29)),IF(AND($E70&gt;'Rainfall Distribution Coef.'!$B$30,$E70&lt;'Rainfall Distribution Coef.'!$B$31),'Rainfall Distribution Coef.'!C$30+('Rainfall Distribution Coef.'!C$31-'Rainfall Distribution Coef.'!C$30)*(($E70-'Rainfall Distribution Coef.'!$B$30)/('Rainfall Distribution Coef.'!$B$31-'Rainfall Distribution Coef.'!$B$30)),IF(AND($E70&gt;'Rainfall Distribution Coef.'!$B$31,$E70&lt;'Rainfall Distribution Coef.'!$B$32),'Rainfall Distribution Coef.'!C$31+('Rainfall Distribution Coef.'!C$32-'Rainfall Distribution Coef.'!C$31)*(($E70-'Rainfall Distribution Coef.'!$B$31)/('Rainfall Distribution Coef.'!$B$32-'Rainfall Distribution Coef.'!$B$31)),IF(AND($E70&gt;'Rainfall Distribution Coef.'!$B$32,$E70&lt;'Rainfall Distribution Coef.'!$B$33),'Rainfall Distribution Coef.'!C$32+('Rainfall Distribution Coef.'!C$33-'Rainfall Distribution Coef.'!C$32)*(($E70-'Rainfall Distribution Coef.'!$B$32)/('Rainfall Distribution Coef.'!$B$33-'Rainfall Distribution Coef.'!$B$32)),IF(AND($E70&gt;'Rainfall Distribution Coef.'!$B$33,$E70&lt;'Rainfall Distribution Coef.'!$B$34),'Rainfall Distribution Coef.'!C$33+('Rainfall Distribution Coef.'!C$34-'Rainfall Distribution Coef.'!C$33)*(($E70-'Rainfall Distribution Coef.'!$B$33)/('Rainfall Distribution Coef.'!$B$34-'Rainfall Distribution Coef.'!$B$33)), IF($E70='Rainfall Distribution Coef.'!$B$34,'Rainfall Distribution Coef.'!C$34,0))))))))</f>
        <v>2.4731700000000001</v>
      </c>
      <c r="U70" s="95">
        <f>(IF('Rainfall Distribution Coef.'!$B$29&gt;$E70,'Rainfall Distribution Coef.'!D$29,IF(AND($E70&gt;'Rainfall Distribution Coef.'!$B$29,$E70&lt;'Rainfall Distribution Coef.'!$B$30),'Rainfall Distribution Coef.'!D$29+('Rainfall Distribution Coef.'!D$30-'Rainfall Distribution Coef.'!D$29)*(($E70-'Rainfall Distribution Coef.'!$B$29)/('Rainfall Distribution Coef.'!$B$30-'Rainfall Distribution Coef.'!$B$29)),IF(AND($E70&gt;'Rainfall Distribution Coef.'!$B$30,$E70&lt;'Rainfall Distribution Coef.'!$B$31),'Rainfall Distribution Coef.'!D$30+('Rainfall Distribution Coef.'!D$31-'Rainfall Distribution Coef.'!D$30)*(($E70-'Rainfall Distribution Coef.'!$B$30)/('Rainfall Distribution Coef.'!$B$31-'Rainfall Distribution Coef.'!$B$30)),IF(AND($E70&gt;'Rainfall Distribution Coef.'!$B$31,$E70&lt;'Rainfall Distribution Coef.'!$B$32),'Rainfall Distribution Coef.'!D$31+('Rainfall Distribution Coef.'!D$32-'Rainfall Distribution Coef.'!D$31)*(($E70-'Rainfall Distribution Coef.'!$B$31)/('Rainfall Distribution Coef.'!$B$32-'Rainfall Distribution Coef.'!$B$31)),IF(AND($E70&gt;'Rainfall Distribution Coef.'!$B$32,$E70&lt;'Rainfall Distribution Coef.'!$B$33),'Rainfall Distribution Coef.'!D$32+('Rainfall Distribution Coef.'!D$33-'Rainfall Distribution Coef.'!D$32)*(($E70-'Rainfall Distribution Coef.'!$B$32)/('Rainfall Distribution Coef.'!$B$33-'Rainfall Distribution Coef.'!$B$32)),IF(AND($E70&gt;'Rainfall Distribution Coef.'!$B$33,$E70&lt;'Rainfall Distribution Coef.'!$B$34),'Rainfall Distribution Coef.'!D$33+('Rainfall Distribution Coef.'!D$34-'Rainfall Distribution Coef.'!D$33)*(($E70-'Rainfall Distribution Coef.'!$B$33)/('Rainfall Distribution Coef.'!$B$34-'Rainfall Distribution Coef.'!$B$33)), IF($E70='Rainfall Distribution Coef.'!$B$34,'Rainfall Distribution Coef.'!D$34,0))))))))</f>
        <v>-0.51848000000000005</v>
      </c>
      <c r="V70" s="95">
        <f>(IF('Rainfall Distribution Coef.'!$B$29&gt;$E70,'Rainfall Distribution Coef.'!E$29,IF(AND($E70&gt;'Rainfall Distribution Coef.'!$B$29,$E70&lt;'Rainfall Distribution Coef.'!$B$30),'Rainfall Distribution Coef.'!E$29+('Rainfall Distribution Coef.'!E$30-'Rainfall Distribution Coef.'!E$29)*(($E70-'Rainfall Distribution Coef.'!$B$29)/('Rainfall Distribution Coef.'!$B$30-'Rainfall Distribution Coef.'!$B$29)),IF(AND($E70&gt;'Rainfall Distribution Coef.'!$B$30,$E70&lt;'Rainfall Distribution Coef.'!$B$31),'Rainfall Distribution Coef.'!E$30+('Rainfall Distribution Coef.'!E$31-'Rainfall Distribution Coef.'!E$30)*(($E70-'Rainfall Distribution Coef.'!$B$30)/('Rainfall Distribution Coef.'!$B$31-'Rainfall Distribution Coef.'!$B$30)),IF(AND($E70&gt;'Rainfall Distribution Coef.'!$B$31,$E70&lt;'Rainfall Distribution Coef.'!$B$32),'Rainfall Distribution Coef.'!E$31+('Rainfall Distribution Coef.'!E$32-'Rainfall Distribution Coef.'!E$31)*(($E70-'Rainfall Distribution Coef.'!$B$31)/('Rainfall Distribution Coef.'!$B$32-'Rainfall Distribution Coef.'!$B$31)),IF(AND($E70&gt;'Rainfall Distribution Coef.'!$B$32,$E70&lt;'Rainfall Distribution Coef.'!$B$33),'Rainfall Distribution Coef.'!E$32+('Rainfall Distribution Coef.'!E$33-'Rainfall Distribution Coef.'!E$32)*(($E70-'Rainfall Distribution Coef.'!$B$32)/('Rainfall Distribution Coef.'!$B$33-'Rainfall Distribution Coef.'!$B$32)),IF(AND($E70&gt;'Rainfall Distribution Coef.'!$B$33,$E70&lt;'Rainfall Distribution Coef.'!$B$34),'Rainfall Distribution Coef.'!E$33+('Rainfall Distribution Coef.'!E$34-'Rainfall Distribution Coef.'!E$33)*(($E70-'Rainfall Distribution Coef.'!$B$33)/('Rainfall Distribution Coef.'!$B$34-'Rainfall Distribution Coef.'!$B$33)), IF($E70='Rainfall Distribution Coef.'!$B$34,'Rainfall Distribution Coef.'!E$34,0))))))))</f>
        <v>-0.17083000000000001</v>
      </c>
    </row>
    <row r="71" spans="1:22" x14ac:dyDescent="0.2">
      <c r="E71" s="91"/>
    </row>
    <row r="72" spans="1:22" x14ac:dyDescent="0.2">
      <c r="A72" s="83" t="s">
        <v>90</v>
      </c>
      <c r="B72" s="83"/>
      <c r="C72" s="83"/>
    </row>
    <row r="73" spans="1:22" ht="12" customHeight="1" x14ac:dyDescent="0.2"/>
    <row r="74" spans="1:22" ht="13.5" x14ac:dyDescent="0.25">
      <c r="B74" s="172">
        <v>0</v>
      </c>
      <c r="C74" s="75" t="s">
        <v>91</v>
      </c>
      <c r="D74" s="96">
        <f>B74/D9</f>
        <v>0</v>
      </c>
      <c r="E74" s="97" t="s">
        <v>102</v>
      </c>
      <c r="F74" s="173">
        <v>1</v>
      </c>
    </row>
    <row r="76" spans="1:22" ht="12.75" x14ac:dyDescent="0.25">
      <c r="A76" s="190" t="s">
        <v>103</v>
      </c>
      <c r="B76" s="190"/>
      <c r="C76" s="190"/>
      <c r="D76" s="190"/>
      <c r="E76" s="190"/>
      <c r="F76" s="190"/>
      <c r="G76" s="190"/>
      <c r="H76" s="190"/>
      <c r="I76" s="190"/>
    </row>
    <row r="78" spans="1:22" ht="13.5" x14ac:dyDescent="0.25">
      <c r="B78" s="75" t="s">
        <v>104</v>
      </c>
    </row>
    <row r="79" spans="1:22" ht="11.25" customHeight="1" x14ac:dyDescent="0.2">
      <c r="C79" s="98"/>
      <c r="D79" s="98"/>
    </row>
    <row r="80" spans="1:22" ht="24.75" x14ac:dyDescent="0.25">
      <c r="B80" s="89" t="s">
        <v>13</v>
      </c>
      <c r="C80" s="90" t="s">
        <v>101</v>
      </c>
      <c r="D80" s="90" t="s">
        <v>105</v>
      </c>
      <c r="E80" s="90" t="s">
        <v>32</v>
      </c>
      <c r="F80" s="90" t="s">
        <v>106</v>
      </c>
      <c r="G80" s="90" t="s">
        <v>107</v>
      </c>
      <c r="H80" s="90"/>
    </row>
    <row r="81" spans="1:10" x14ac:dyDescent="0.2">
      <c r="B81" s="90">
        <v>2</v>
      </c>
      <c r="C81" s="91">
        <f>F66</f>
        <v>361.13606576370285</v>
      </c>
      <c r="D81" s="86">
        <f>$D$9/640</f>
        <v>9.1562500000000012E-3</v>
      </c>
      <c r="E81" s="91">
        <f>F56</f>
        <v>1.21389756798402</v>
      </c>
      <c r="F81" s="99">
        <f>$F$74</f>
        <v>1</v>
      </c>
      <c r="G81" s="91">
        <f>F81*E81*D81*C81</f>
        <v>4.0139369449678028</v>
      </c>
      <c r="H81" s="82" t="s">
        <v>33</v>
      </c>
    </row>
    <row r="82" spans="1:10" x14ac:dyDescent="0.2">
      <c r="B82" s="90">
        <v>10</v>
      </c>
      <c r="C82" s="91">
        <f>F67</f>
        <v>386.46384728731732</v>
      </c>
      <c r="D82" s="86">
        <f>$D$9/640</f>
        <v>9.1562500000000012E-3</v>
      </c>
      <c r="E82" s="91">
        <f>F57</f>
        <v>2.4702667915046681</v>
      </c>
      <c r="F82" s="99">
        <f>$F$74</f>
        <v>1</v>
      </c>
      <c r="G82" s="91">
        <f>F82*E82*D82*C82</f>
        <v>8.7411862739000163</v>
      </c>
      <c r="H82" s="82" t="s">
        <v>33</v>
      </c>
    </row>
    <row r="83" spans="1:10" x14ac:dyDescent="0.2">
      <c r="B83" s="90">
        <v>25</v>
      </c>
      <c r="C83" s="91">
        <f>F68</f>
        <v>396.11696511554646</v>
      </c>
      <c r="D83" s="86">
        <f>$D$9/640</f>
        <v>9.1562500000000012E-3</v>
      </c>
      <c r="E83" s="91">
        <f>F58</f>
        <v>3.3683368620558127</v>
      </c>
      <c r="F83" s="99">
        <f>$F$74</f>
        <v>1</v>
      </c>
      <c r="G83" s="91">
        <f>F83*E83*D83*C83</f>
        <v>12.216775779947529</v>
      </c>
      <c r="H83" s="82" t="s">
        <v>33</v>
      </c>
    </row>
    <row r="84" spans="1:10" x14ac:dyDescent="0.2">
      <c r="B84" s="90">
        <v>50</v>
      </c>
      <c r="C84" s="91">
        <f>F69</f>
        <v>401.96490562310038</v>
      </c>
      <c r="D84" s="86">
        <f>$D$9/640</f>
        <v>9.1562500000000012E-3</v>
      </c>
      <c r="E84" s="91">
        <f>F59</f>
        <v>4.1350717800164771</v>
      </c>
      <c r="F84" s="99">
        <f>$F$74</f>
        <v>1</v>
      </c>
      <c r="G84" s="91">
        <f>F84*E84*D84*C84</f>
        <v>15.219095161722725</v>
      </c>
      <c r="H84" s="82" t="s">
        <v>33</v>
      </c>
    </row>
    <row r="85" spans="1:10" x14ac:dyDescent="0.2">
      <c r="B85" s="90">
        <v>100</v>
      </c>
      <c r="C85" s="91">
        <f>F70</f>
        <v>403.64872606303015</v>
      </c>
      <c r="D85" s="86">
        <f>$D$9/640</f>
        <v>9.1562500000000012E-3</v>
      </c>
      <c r="E85" s="91">
        <f>F60</f>
        <v>5.0118043423203762</v>
      </c>
      <c r="F85" s="99">
        <f>$F$74</f>
        <v>1</v>
      </c>
      <c r="G85" s="91">
        <f>F85*E85*D85*C85</f>
        <v>18.523171010939105</v>
      </c>
      <c r="H85" s="82" t="s">
        <v>33</v>
      </c>
    </row>
    <row r="86" spans="1:10" x14ac:dyDescent="0.2">
      <c r="B86" s="90"/>
      <c r="C86" s="91"/>
      <c r="D86" s="86"/>
      <c r="E86" s="91"/>
      <c r="F86" s="99"/>
      <c r="G86" s="91"/>
      <c r="H86" s="82"/>
    </row>
    <row r="87" spans="1:10" ht="28.5" customHeight="1" x14ac:dyDescent="0.2">
      <c r="A87" s="176" t="s">
        <v>419</v>
      </c>
      <c r="B87" s="176"/>
      <c r="C87" s="176"/>
      <c r="D87" s="176"/>
      <c r="E87" s="176"/>
      <c r="F87" s="176"/>
      <c r="G87" s="176"/>
      <c r="H87" s="176"/>
      <c r="I87" s="169"/>
      <c r="J87" s="169"/>
    </row>
    <row r="88" spans="1:10" ht="12.75" x14ac:dyDescent="0.2">
      <c r="A88" s="100"/>
      <c r="B88" s="100"/>
      <c r="C88" s="100"/>
      <c r="D88" s="100"/>
      <c r="E88" s="100"/>
      <c r="F88" s="100"/>
      <c r="G88" s="100"/>
      <c r="H88" s="100"/>
      <c r="I88" s="100"/>
      <c r="J88" s="100"/>
    </row>
    <row r="89" spans="1:10" x14ac:dyDescent="0.2">
      <c r="A89" s="76" t="str">
        <f>A46</f>
        <v>Lexington County I-20 Widening - Outfall #16</v>
      </c>
      <c r="B89" s="76"/>
      <c r="C89" s="76"/>
      <c r="D89" s="76"/>
      <c r="E89" s="76"/>
      <c r="F89" s="76"/>
      <c r="G89" s="76"/>
      <c r="H89" s="76"/>
      <c r="I89" s="76"/>
    </row>
    <row r="90" spans="1:10" s="88" customFormat="1" ht="13.5" customHeight="1" x14ac:dyDescent="0.2">
      <c r="A90" s="88">
        <f>A47</f>
        <v>0</v>
      </c>
      <c r="B90" s="75"/>
      <c r="C90" s="75"/>
      <c r="D90" s="75"/>
      <c r="E90" s="75"/>
      <c r="F90" s="75"/>
      <c r="G90" s="75"/>
      <c r="H90" s="75"/>
      <c r="I90" s="75"/>
    </row>
    <row r="91" spans="1:10" x14ac:dyDescent="0.2">
      <c r="B91" s="91"/>
      <c r="C91" s="90"/>
      <c r="D91" s="90"/>
      <c r="E91" s="90"/>
    </row>
    <row r="92" spans="1:10" s="76" customFormat="1" x14ac:dyDescent="0.2">
      <c r="A92" s="76" t="s">
        <v>24</v>
      </c>
      <c r="B92" s="75"/>
      <c r="C92" s="75"/>
      <c r="D92" s="75"/>
      <c r="E92" s="75"/>
      <c r="F92" s="75"/>
      <c r="G92" s="75"/>
      <c r="H92" s="75"/>
      <c r="I92" s="75"/>
    </row>
    <row r="94" spans="1:10" ht="55.5" customHeight="1" x14ac:dyDescent="0.2">
      <c r="A94" s="182" t="s">
        <v>422</v>
      </c>
      <c r="B94" s="182"/>
      <c r="C94" s="182"/>
      <c r="D94" s="182"/>
      <c r="E94" s="182"/>
      <c r="F94" s="182"/>
      <c r="G94" s="182"/>
      <c r="H94" s="182"/>
      <c r="I94" s="169"/>
      <c r="J94" s="169"/>
    </row>
    <row r="95" spans="1:10" x14ac:dyDescent="0.2">
      <c r="A95" s="83"/>
    </row>
    <row r="96" spans="1:10" s="92" customFormat="1" ht="12.75" customHeight="1" x14ac:dyDescent="0.2">
      <c r="A96" s="76" t="s">
        <v>92</v>
      </c>
      <c r="B96" s="75"/>
      <c r="C96" s="75"/>
      <c r="D96" s="75"/>
      <c r="E96" s="75"/>
      <c r="F96" s="75"/>
      <c r="G96" s="75"/>
      <c r="H96" s="75"/>
      <c r="I96" s="75"/>
    </row>
    <row r="97" spans="1:35" ht="12.75" customHeight="1" x14ac:dyDescent="0.2"/>
    <row r="98" spans="1:35" ht="12.75" customHeight="1" x14ac:dyDescent="0.2">
      <c r="A98" s="75" t="s">
        <v>1</v>
      </c>
      <c r="D98" s="111">
        <v>5.86</v>
      </c>
      <c r="E98" s="75" t="s">
        <v>114</v>
      </c>
    </row>
    <row r="99" spans="1:35" ht="12.75" customHeight="1" x14ac:dyDescent="0.2"/>
    <row r="100" spans="1:35" ht="12.75" customHeight="1" x14ac:dyDescent="0.2">
      <c r="A100" s="75" t="s">
        <v>113</v>
      </c>
      <c r="D100" s="124">
        <f>B106-B15</f>
        <v>0.4</v>
      </c>
      <c r="E100" s="75" t="s">
        <v>115</v>
      </c>
    </row>
    <row r="101" spans="1:35" ht="12.75" customHeight="1" x14ac:dyDescent="0.2"/>
    <row r="102" spans="1:35" ht="12.75" customHeight="1" x14ac:dyDescent="0.2">
      <c r="A102" s="80" t="s">
        <v>93</v>
      </c>
      <c r="B102" s="83"/>
      <c r="C102" s="83"/>
    </row>
    <row r="103" spans="1:35" ht="12.75" customHeight="1" x14ac:dyDescent="0.2">
      <c r="A103" s="148" t="s">
        <v>361</v>
      </c>
      <c r="B103" s="143" t="s">
        <v>225</v>
      </c>
    </row>
    <row r="104" spans="1:35" ht="12.75" customHeight="1" thickBot="1" x14ac:dyDescent="0.25">
      <c r="A104" s="148"/>
    </row>
    <row r="105" spans="1:35" ht="12.75" customHeight="1" x14ac:dyDescent="0.2">
      <c r="B105" s="51" t="s">
        <v>2</v>
      </c>
      <c r="C105" s="51"/>
      <c r="D105" s="51" t="s">
        <v>79</v>
      </c>
      <c r="E105" s="197" t="s">
        <v>6</v>
      </c>
      <c r="F105" s="197"/>
      <c r="W105" s="194" t="s">
        <v>362</v>
      </c>
      <c r="X105" s="195"/>
      <c r="Y105" s="195"/>
      <c r="Z105" s="195"/>
      <c r="AA105" s="195"/>
      <c r="AB105" s="195"/>
      <c r="AC105" s="195"/>
      <c r="AD105" s="195"/>
      <c r="AE105" s="195"/>
      <c r="AF105" s="195"/>
      <c r="AG105" s="195"/>
      <c r="AH105" s="195"/>
      <c r="AI105" s="196"/>
    </row>
    <row r="106" spans="1:35" ht="12.75" customHeight="1" x14ac:dyDescent="0.2">
      <c r="B106" s="111">
        <v>0.98</v>
      </c>
      <c r="C106" s="51" t="s">
        <v>3</v>
      </c>
      <c r="D106" s="79">
        <f>IF(ISBLANK(E106),0,IF($B$103='Curve Numbers'!$C$4,VLOOKUP(E106,'Curve Numbers'!$A$5:$F$93,3,FALSE),IF($B$103='Curve Numbers'!$D$4,VLOOKUP(E106,'Curve Numbers'!$A$5:$F$93,4,FALSE),IF($B$103='Curve Numbers'!$E$4,VLOOKUP(E106,'Curve Numbers'!$A$5:$F$93,5,FALSE),IF($B$103='Curve Numbers'!$F$4,VLOOKUP(E106,'Curve Numbers'!$A$5:$F$93,6,FALSE),"UPDATE")))))</f>
        <v>92</v>
      </c>
      <c r="E106" s="183" t="s">
        <v>235</v>
      </c>
      <c r="F106" s="183"/>
      <c r="G106" s="183"/>
      <c r="W106" s="184" t="str">
        <f>IF(ISBLANK(E106),"",VLOOKUP(E106,'Curve Numbers'!$A$5:$F$93,2,FALSE))</f>
        <v xml:space="preserve">Impervious Area  </v>
      </c>
      <c r="X106" s="185"/>
      <c r="Y106" s="185"/>
      <c r="Z106" s="185"/>
      <c r="AA106" s="185"/>
      <c r="AB106" s="185"/>
      <c r="AC106" s="185"/>
      <c r="AD106" s="185"/>
      <c r="AE106" s="185"/>
      <c r="AF106" s="185"/>
      <c r="AG106" s="185"/>
      <c r="AH106" s="185"/>
      <c r="AI106" s="186"/>
    </row>
    <row r="107" spans="1:35" ht="12.75" customHeight="1" x14ac:dyDescent="0.2">
      <c r="B107" s="111">
        <v>4.88</v>
      </c>
      <c r="C107" s="51" t="s">
        <v>3</v>
      </c>
      <c r="D107" s="79">
        <f>IF(ISBLANK(E107),0,IF($B$103='Curve Numbers'!$C$4,VLOOKUP(E107,'Curve Numbers'!$A$5:$F$93,3,FALSE),IF($B$103='Curve Numbers'!$D$4,VLOOKUP(E107,'Curve Numbers'!$A$5:$F$93,4,FALSE),IF($B$103='Curve Numbers'!$E$4,VLOOKUP(E107,'Curve Numbers'!$A$5:$F$93,5,FALSE),IF($B$103='Curve Numbers'!$F$4,VLOOKUP(E107,'Curve Numbers'!$A$5:$F$93,6,FALSE),"UPDATE")))))</f>
        <v>70</v>
      </c>
      <c r="E107" s="183" t="s">
        <v>314</v>
      </c>
      <c r="F107" s="183"/>
      <c r="G107" s="183"/>
      <c r="W107" s="184" t="str">
        <f>IF(ISBLANK(E107),"",VLOOKUP(E107,'Curve Numbers'!$A$5:$F$93,2,FALSE))</f>
        <v>Woods are protected from grazing, and litter and brush adequately cover the soil.</v>
      </c>
      <c r="X107" s="185"/>
      <c r="Y107" s="185"/>
      <c r="Z107" s="185"/>
      <c r="AA107" s="185"/>
      <c r="AB107" s="185"/>
      <c r="AC107" s="185"/>
      <c r="AD107" s="185"/>
      <c r="AE107" s="185"/>
      <c r="AF107" s="185"/>
      <c r="AG107" s="185"/>
      <c r="AH107" s="185"/>
      <c r="AI107" s="186"/>
    </row>
    <row r="108" spans="1:35" ht="12.75" customHeight="1" x14ac:dyDescent="0.2">
      <c r="B108" s="111">
        <v>0</v>
      </c>
      <c r="C108" s="51" t="s">
        <v>3</v>
      </c>
      <c r="D108" s="79">
        <f>IF(ISBLANK(E108),0,IF($B$103='Curve Numbers'!$C$4,VLOOKUP(E108,'Curve Numbers'!$A$5:$F$93,3,FALSE),IF($B$103='Curve Numbers'!$D$4,VLOOKUP(E108,'Curve Numbers'!$A$5:$F$93,4,FALSE),IF($B$103='Curve Numbers'!$E$4,VLOOKUP(E108,'Curve Numbers'!$A$5:$F$93,5,FALSE),IF($B$103='Curve Numbers'!$F$4,VLOOKUP(E108,'Curve Numbers'!$A$5:$F$93,6,FALSE),"UPDATE")))))</f>
        <v>80</v>
      </c>
      <c r="E108" s="183" t="s">
        <v>253</v>
      </c>
      <c r="F108" s="183"/>
      <c r="G108" s="183"/>
      <c r="W108" s="184" t="str">
        <f>IF(ISBLANK(E108),"",VLOOKUP(E108,'Curve Numbers'!$A$5:$F$93,2,FALSE))</f>
        <v>Average Impervious Area = 25%</v>
      </c>
      <c r="X108" s="185"/>
      <c r="Y108" s="185"/>
      <c r="Z108" s="185"/>
      <c r="AA108" s="185"/>
      <c r="AB108" s="185"/>
      <c r="AC108" s="185"/>
      <c r="AD108" s="185"/>
      <c r="AE108" s="185"/>
      <c r="AF108" s="185"/>
      <c r="AG108" s="185"/>
      <c r="AH108" s="185"/>
      <c r="AI108" s="186"/>
    </row>
    <row r="109" spans="1:35" ht="12.75" customHeight="1" x14ac:dyDescent="0.2">
      <c r="B109" s="111">
        <v>0</v>
      </c>
      <c r="C109" s="51" t="s">
        <v>3</v>
      </c>
      <c r="D109" s="79">
        <f>IF(ISBLANK(E109),0,IF($B$103='Curve Numbers'!$C$4,VLOOKUP(E109,'Curve Numbers'!$A$5:$F$93,3,FALSE),IF($B$103='Curve Numbers'!$D$4,VLOOKUP(E109,'Curve Numbers'!$A$5:$F$93,4,FALSE),IF($B$103='Curve Numbers'!$E$4,VLOOKUP(E109,'Curve Numbers'!$A$5:$F$93,5,FALSE),IF($B$103='Curve Numbers'!$F$4,VLOOKUP(E109,'Curve Numbers'!$A$5:$F$93,6,FALSE),"UPDATE")))))</f>
        <v>94</v>
      </c>
      <c r="E109" s="183" t="s">
        <v>242</v>
      </c>
      <c r="F109" s="183"/>
      <c r="G109" s="183"/>
      <c r="W109" s="184" t="str">
        <f>IF(ISBLANK(E109),"",VLOOKUP(E109,'Curve Numbers'!$A$5:$F$93,2,FALSE))</f>
        <v>Average Impervious Area = 85%</v>
      </c>
      <c r="X109" s="185"/>
      <c r="Y109" s="185"/>
      <c r="Z109" s="185"/>
      <c r="AA109" s="185"/>
      <c r="AB109" s="185"/>
      <c r="AC109" s="185"/>
      <c r="AD109" s="185"/>
      <c r="AE109" s="185"/>
      <c r="AF109" s="185"/>
      <c r="AG109" s="185"/>
      <c r="AH109" s="185"/>
      <c r="AI109" s="186"/>
    </row>
    <row r="110" spans="1:35" ht="12.75" customHeight="1" x14ac:dyDescent="0.2">
      <c r="B110" s="111">
        <v>0</v>
      </c>
      <c r="C110" s="51" t="s">
        <v>3</v>
      </c>
      <c r="D110" s="79">
        <f>IF(ISBLANK(E110),0,IF($B$103='Curve Numbers'!$C$4,VLOOKUP(E110,'Curve Numbers'!$A$5:$F$93,3,FALSE),IF($B$103='Curve Numbers'!$D$4,VLOOKUP(E110,'Curve Numbers'!$A$5:$F$93,4,FALSE),IF($B$103='Curve Numbers'!$E$4,VLOOKUP(E110,'Curve Numbers'!$A$5:$F$93,5,FALSE),IF($B$103='Curve Numbers'!$F$4,VLOOKUP(E110,'Curve Numbers'!$A$5:$F$93,6,FALSE),"UPDATE")))))</f>
        <v>74</v>
      </c>
      <c r="E110" s="183" t="s">
        <v>231</v>
      </c>
      <c r="F110" s="183"/>
      <c r="G110" s="183"/>
      <c r="W110" s="184" t="str">
        <f>IF(ISBLANK(E110),"",VLOOKUP(E110,'Curve Numbers'!$A$5:$F$93,2,FALSE))</f>
        <v>Grass Cover &gt; 75%</v>
      </c>
      <c r="X110" s="185"/>
      <c r="Y110" s="185"/>
      <c r="Z110" s="185"/>
      <c r="AA110" s="185"/>
      <c r="AB110" s="185"/>
      <c r="AC110" s="185"/>
      <c r="AD110" s="185"/>
      <c r="AE110" s="185"/>
      <c r="AF110" s="185"/>
      <c r="AG110" s="185"/>
      <c r="AH110" s="185"/>
      <c r="AI110" s="186"/>
    </row>
    <row r="111" spans="1:35" ht="12.75" customHeight="1" x14ac:dyDescent="0.2">
      <c r="B111" s="111">
        <v>0</v>
      </c>
      <c r="C111" s="51" t="s">
        <v>3</v>
      </c>
      <c r="D111" s="79">
        <f>IF(ISBLANK(E111),0,IF($B$103='Curve Numbers'!$C$4,VLOOKUP(E111,'Curve Numbers'!$A$5:$F$93,3,FALSE),IF($B$103='Curve Numbers'!$D$4,VLOOKUP(E111,'Curve Numbers'!$A$5:$F$93,4,FALSE),IF($B$103='Curve Numbers'!$E$4,VLOOKUP(E111,'Curve Numbers'!$A$5:$F$93,5,FALSE),IF($B$103='Curve Numbers'!$F$4,VLOOKUP(E111,'Curve Numbers'!$A$5:$F$93,6,FALSE),"UPDATE")))))</f>
        <v>0</v>
      </c>
      <c r="E111" s="183"/>
      <c r="F111" s="183"/>
      <c r="G111" s="183"/>
      <c r="W111" s="184" t="str">
        <f>IF(ISBLANK(E111),"",VLOOKUP(E111,'Curve Numbers'!$A$5:$F$93,2,FALSE))</f>
        <v/>
      </c>
      <c r="X111" s="185"/>
      <c r="Y111" s="185"/>
      <c r="Z111" s="185"/>
      <c r="AA111" s="185"/>
      <c r="AB111" s="185"/>
      <c r="AC111" s="185"/>
      <c r="AD111" s="185"/>
      <c r="AE111" s="185"/>
      <c r="AF111" s="185"/>
      <c r="AG111" s="185"/>
      <c r="AH111" s="185"/>
      <c r="AI111" s="186"/>
    </row>
    <row r="112" spans="1:35" x14ac:dyDescent="0.2">
      <c r="B112" s="111">
        <v>0</v>
      </c>
      <c r="C112" s="51" t="s">
        <v>3</v>
      </c>
      <c r="D112" s="79">
        <f>IF(ISBLANK(E112),0,IF($B$103='Curve Numbers'!$C$4,VLOOKUP(E112,'Curve Numbers'!$A$5:$F$93,3,FALSE),IF($B$103='Curve Numbers'!$D$4,VLOOKUP(E112,'Curve Numbers'!$A$5:$F$93,4,FALSE),IF($B$103='Curve Numbers'!$E$4,VLOOKUP(E112,'Curve Numbers'!$A$5:$F$93,5,FALSE),IF($B$103='Curve Numbers'!$F$4,VLOOKUP(E112,'Curve Numbers'!$A$5:$F$93,6,FALSE),"UPDATE")))))</f>
        <v>0</v>
      </c>
      <c r="E112" s="183"/>
      <c r="F112" s="183"/>
      <c r="G112" s="183"/>
      <c r="W112" s="184" t="str">
        <f>IF(ISBLANK(E112),"",VLOOKUP(E112,'Curve Numbers'!$A$5:$F$93,2,FALSE))</f>
        <v/>
      </c>
      <c r="X112" s="185"/>
      <c r="Y112" s="185"/>
      <c r="Z112" s="185"/>
      <c r="AA112" s="185"/>
      <c r="AB112" s="185"/>
      <c r="AC112" s="185"/>
      <c r="AD112" s="185"/>
      <c r="AE112" s="185"/>
      <c r="AF112" s="185"/>
      <c r="AG112" s="185"/>
      <c r="AH112" s="185"/>
      <c r="AI112" s="186"/>
    </row>
    <row r="113" spans="1:35" ht="12.75" thickBot="1" x14ac:dyDescent="0.25">
      <c r="B113" s="111">
        <v>0</v>
      </c>
      <c r="C113" s="51" t="s">
        <v>3</v>
      </c>
      <c r="D113" s="79">
        <f>IF(ISBLANK(E113),0,IF($B$103='Curve Numbers'!$C$4,VLOOKUP(E113,'Curve Numbers'!$A$5:$F$93,3,FALSE),IF($B$103='Curve Numbers'!$D$4,VLOOKUP(E113,'Curve Numbers'!$A$5:$F$93,4,FALSE),IF($B$103='Curve Numbers'!$E$4,VLOOKUP(E113,'Curve Numbers'!$A$5:$F$93,5,FALSE),IF($B$103='Curve Numbers'!$F$4,VLOOKUP(E113,'Curve Numbers'!$A$5:$F$93,6,FALSE),"UPDATE")))))</f>
        <v>0</v>
      </c>
      <c r="E113" s="183"/>
      <c r="F113" s="183"/>
      <c r="G113" s="183"/>
      <c r="W113" s="191" t="str">
        <f>IF(ISBLANK(E113),"",VLOOKUP(E113,'Curve Numbers'!$A$5:$F$93,2,FALSE))</f>
        <v/>
      </c>
      <c r="X113" s="192"/>
      <c r="Y113" s="192"/>
      <c r="Z113" s="192"/>
      <c r="AA113" s="192"/>
      <c r="AB113" s="192"/>
      <c r="AC113" s="192"/>
      <c r="AD113" s="192"/>
      <c r="AE113" s="192"/>
      <c r="AF113" s="192"/>
      <c r="AG113" s="192"/>
      <c r="AH113" s="192"/>
      <c r="AI113" s="193"/>
    </row>
    <row r="114" spans="1:35" x14ac:dyDescent="0.2">
      <c r="B114" s="79"/>
      <c r="C114" s="51"/>
      <c r="D114" s="79"/>
      <c r="E114" s="51"/>
      <c r="F114" s="51"/>
    </row>
    <row r="115" spans="1:35" x14ac:dyDescent="0.2">
      <c r="E115" s="75" t="s">
        <v>81</v>
      </c>
      <c r="G115" s="82">
        <f>((B106*D106)+(B107*D107)+(B108*D108)+(B113*D113)+(B112*D112)+(B109*D109)+(B110*D110)+(B111*D111))/(D98)</f>
        <v>73.679180887372013</v>
      </c>
    </row>
    <row r="117" spans="1:35" ht="13.5" x14ac:dyDescent="0.25">
      <c r="A117" s="83" t="s">
        <v>94</v>
      </c>
      <c r="B117" s="83"/>
      <c r="C117" s="83"/>
    </row>
    <row r="118" spans="1:35" ht="14.25" customHeight="1" x14ac:dyDescent="0.2"/>
    <row r="119" spans="1:35" ht="13.5" x14ac:dyDescent="0.25">
      <c r="B119" s="75" t="s">
        <v>95</v>
      </c>
      <c r="E119" s="84">
        <f>IF('tc-pre'!E1="Yes",'tc-pre'!D48,IF('tc-pre'!E1="No",'tc-post'!D47,"Update"))</f>
        <v>0.81686055729959095</v>
      </c>
      <c r="F119" s="75" t="s">
        <v>11</v>
      </c>
    </row>
    <row r="120" spans="1:35" x14ac:dyDescent="0.2">
      <c r="B120" s="75" t="str">
        <f>IF('tc-pre'!E1="Yes","Pre-Construction Tc = Post-Construction Tc",IF('tc-pre'!E1="No","See Time of Concentration Worksheet","Update"))</f>
        <v>See Time of Concentration Worksheet</v>
      </c>
    </row>
    <row r="122" spans="1:35" s="92" customFormat="1" ht="14.25" customHeight="1" x14ac:dyDescent="0.2">
      <c r="A122" s="83" t="s">
        <v>82</v>
      </c>
      <c r="B122" s="75"/>
      <c r="C122" s="75"/>
      <c r="D122" s="75"/>
      <c r="E122" s="75"/>
      <c r="F122" s="75"/>
      <c r="G122" s="75"/>
      <c r="H122" s="75"/>
      <c r="I122" s="75"/>
    </row>
    <row r="123" spans="1:35" x14ac:dyDescent="0.2">
      <c r="A123" s="90" t="str">
        <f>A32</f>
        <v>SCDHEC Rainfall for :</v>
      </c>
      <c r="B123" s="189" t="str">
        <f>B32</f>
        <v>Lexington, SC</v>
      </c>
      <c r="C123" s="189"/>
      <c r="D123" s="189"/>
    </row>
    <row r="124" spans="1:35" x14ac:dyDescent="0.2">
      <c r="A124" s="90"/>
    </row>
    <row r="125" spans="1:35" x14ac:dyDescent="0.2">
      <c r="A125" s="90"/>
      <c r="C125" s="85" t="s">
        <v>13</v>
      </c>
      <c r="D125" s="85"/>
      <c r="E125" s="85"/>
      <c r="F125" s="86" t="s">
        <v>83</v>
      </c>
    </row>
    <row r="126" spans="1:35" x14ac:dyDescent="0.2">
      <c r="C126" s="75">
        <v>2</v>
      </c>
      <c r="D126" s="75" t="s">
        <v>15</v>
      </c>
      <c r="F126" s="86">
        <f>F35</f>
        <v>3.6</v>
      </c>
    </row>
    <row r="127" spans="1:35" x14ac:dyDescent="0.2">
      <c r="C127" s="75">
        <v>10</v>
      </c>
      <c r="D127" s="75" t="s">
        <v>15</v>
      </c>
      <c r="F127" s="86">
        <f>F36</f>
        <v>5.3</v>
      </c>
    </row>
    <row r="128" spans="1:35" x14ac:dyDescent="0.2">
      <c r="C128" s="75">
        <v>25</v>
      </c>
      <c r="D128" s="75" t="s">
        <v>15</v>
      </c>
      <c r="F128" s="86">
        <f>F37</f>
        <v>6.4</v>
      </c>
    </row>
    <row r="129" spans="1:9" x14ac:dyDescent="0.2">
      <c r="C129" s="75">
        <v>50</v>
      </c>
      <c r="D129" s="75" t="s">
        <v>15</v>
      </c>
      <c r="F129" s="86">
        <f>F38</f>
        <v>7.3</v>
      </c>
    </row>
    <row r="130" spans="1:9" x14ac:dyDescent="0.2">
      <c r="C130" s="75">
        <v>100</v>
      </c>
      <c r="D130" s="75" t="s">
        <v>15</v>
      </c>
      <c r="F130" s="86">
        <f>F39</f>
        <v>8.3000000000000007</v>
      </c>
    </row>
    <row r="131" spans="1:9" s="92" customFormat="1" ht="14.25" customHeight="1" x14ac:dyDescent="0.2">
      <c r="A131" s="75"/>
      <c r="B131" s="75"/>
      <c r="C131" s="75"/>
      <c r="D131" s="75"/>
      <c r="E131" s="75"/>
      <c r="F131" s="75"/>
      <c r="G131" s="75"/>
      <c r="H131" s="75"/>
      <c r="I131" s="75"/>
    </row>
    <row r="132" spans="1:9" ht="13.5" x14ac:dyDescent="0.25">
      <c r="A132" s="83" t="s">
        <v>96</v>
      </c>
    </row>
    <row r="134" spans="1:9" x14ac:dyDescent="0.2">
      <c r="C134" s="75" t="s">
        <v>84</v>
      </c>
      <c r="E134" s="87">
        <f>1000/G115-10</f>
        <v>3.5723550120437277</v>
      </c>
      <c r="F134" s="75" t="s">
        <v>85</v>
      </c>
    </row>
    <row r="136" spans="1:9" ht="13.5" x14ac:dyDescent="0.25">
      <c r="C136" s="75" t="s">
        <v>97</v>
      </c>
      <c r="E136" s="87">
        <f>0.2*E134</f>
        <v>0.71447100240874561</v>
      </c>
      <c r="F136" s="75" t="s">
        <v>85</v>
      </c>
    </row>
    <row r="137" spans="1:9" s="76" customFormat="1" x14ac:dyDescent="0.2">
      <c r="A137" s="76" t="str">
        <f>A2</f>
        <v>Lexington County I-20 Widening - Outfall #16</v>
      </c>
    </row>
    <row r="138" spans="1:9" x14ac:dyDescent="0.2">
      <c r="A138" s="101">
        <f>A3</f>
        <v>0</v>
      </c>
      <c r="B138" s="77"/>
      <c r="C138" s="77"/>
      <c r="D138" s="77"/>
      <c r="E138" s="77"/>
      <c r="F138" s="77"/>
    </row>
    <row r="140" spans="1:9" x14ac:dyDescent="0.2">
      <c r="A140" s="88" t="s">
        <v>23</v>
      </c>
    </row>
    <row r="141" spans="1:9" x14ac:dyDescent="0.2">
      <c r="A141" s="102"/>
      <c r="B141" s="102"/>
      <c r="C141" s="102"/>
      <c r="D141" s="102"/>
      <c r="E141" s="102"/>
      <c r="F141" s="102"/>
      <c r="G141" s="102"/>
      <c r="H141" s="102"/>
      <c r="I141" s="102"/>
    </row>
    <row r="142" spans="1:9" x14ac:dyDescent="0.2">
      <c r="A142" s="83" t="s">
        <v>86</v>
      </c>
    </row>
    <row r="143" spans="1:9" x14ac:dyDescent="0.2">
      <c r="A143" s="83"/>
    </row>
    <row r="144" spans="1:9" ht="13.5" x14ac:dyDescent="0.2">
      <c r="A144" s="83"/>
      <c r="B144" s="75" t="s">
        <v>98</v>
      </c>
    </row>
    <row r="146" spans="1:22" ht="24" x14ac:dyDescent="0.2">
      <c r="B146" s="89" t="s">
        <v>13</v>
      </c>
      <c r="C146" s="90" t="s">
        <v>87</v>
      </c>
      <c r="D146" s="90" t="s">
        <v>88</v>
      </c>
      <c r="E146" s="90" t="s">
        <v>22</v>
      </c>
      <c r="F146" s="90" t="s">
        <v>32</v>
      </c>
      <c r="H146" s="90"/>
    </row>
    <row r="147" spans="1:22" x14ac:dyDescent="0.2">
      <c r="B147" s="90">
        <v>2</v>
      </c>
      <c r="C147" s="86">
        <f>F126</f>
        <v>3.6</v>
      </c>
      <c r="D147" s="86">
        <f>$E$134</f>
        <v>3.5723550120437277</v>
      </c>
      <c r="E147" s="90" t="s">
        <v>22</v>
      </c>
      <c r="F147" s="91">
        <f>((C147-0.2*D147)^2)/(C147+0.8*D147)</f>
        <v>1.2893197808318353</v>
      </c>
      <c r="G147" s="75" t="s">
        <v>85</v>
      </c>
      <c r="H147" s="82"/>
    </row>
    <row r="148" spans="1:22" x14ac:dyDescent="0.2">
      <c r="B148" s="90">
        <v>10</v>
      </c>
      <c r="C148" s="86">
        <f>F127</f>
        <v>5.3</v>
      </c>
      <c r="D148" s="86">
        <f>$E$134</f>
        <v>3.5723550120437277</v>
      </c>
      <c r="E148" s="90" t="s">
        <v>22</v>
      </c>
      <c r="F148" s="91">
        <f>((C148-0.2*D148)^2)/(C148+0.8*D148)</f>
        <v>2.5775159542494022</v>
      </c>
      <c r="G148" s="75" t="s">
        <v>85</v>
      </c>
      <c r="H148" s="82"/>
    </row>
    <row r="149" spans="1:22" x14ac:dyDescent="0.2">
      <c r="B149" s="90">
        <v>25</v>
      </c>
      <c r="C149" s="86">
        <f>F128</f>
        <v>6.4</v>
      </c>
      <c r="D149" s="86">
        <f>$E$134</f>
        <v>3.5723550120437277</v>
      </c>
      <c r="E149" s="90" t="s">
        <v>22</v>
      </c>
      <c r="F149" s="91">
        <f>(C149-0.2*D149)^2/(C149+0.8*D149)</f>
        <v>3.4916445214488623</v>
      </c>
      <c r="G149" s="75" t="s">
        <v>85</v>
      </c>
      <c r="H149" s="82"/>
    </row>
    <row r="150" spans="1:22" x14ac:dyDescent="0.2">
      <c r="B150" s="90">
        <v>50</v>
      </c>
      <c r="C150" s="86">
        <f>F129</f>
        <v>7.3</v>
      </c>
      <c r="D150" s="86">
        <f>$E$134</f>
        <v>3.5723550120437277</v>
      </c>
      <c r="E150" s="90" t="s">
        <v>22</v>
      </c>
      <c r="F150" s="91">
        <f>(C150-0.2*D150)^2/(C150+0.8*D150)</f>
        <v>4.2695104745219199</v>
      </c>
      <c r="G150" s="75" t="s">
        <v>85</v>
      </c>
      <c r="H150" s="82"/>
    </row>
    <row r="151" spans="1:22" x14ac:dyDescent="0.2">
      <c r="B151" s="90">
        <v>100</v>
      </c>
      <c r="C151" s="86">
        <f>F130</f>
        <v>8.3000000000000007</v>
      </c>
      <c r="D151" s="86">
        <f>$E$134</f>
        <v>3.5723550120437277</v>
      </c>
      <c r="E151" s="90" t="s">
        <v>22</v>
      </c>
      <c r="F151" s="91">
        <f>(C151-0.2*D151)^2/(C151+0.8*D151)</f>
        <v>5.1569141715051892</v>
      </c>
      <c r="G151" s="75" t="s">
        <v>85</v>
      </c>
      <c r="H151" s="82"/>
    </row>
    <row r="153" spans="1:22" ht="13.5" x14ac:dyDescent="0.25">
      <c r="A153" s="80" t="s">
        <v>130</v>
      </c>
    </row>
    <row r="154" spans="1:22" x14ac:dyDescent="0.2">
      <c r="A154" s="92" t="str">
        <f>A63</f>
        <v>Rainfall Distribution Type II</v>
      </c>
      <c r="B154" s="92"/>
      <c r="C154" s="92"/>
      <c r="D154" s="92"/>
      <c r="E154" s="92"/>
      <c r="F154" s="92"/>
      <c r="G154" s="92"/>
      <c r="H154" s="92"/>
      <c r="I154" s="92"/>
    </row>
    <row r="155" spans="1:22" x14ac:dyDescent="0.2">
      <c r="A155" s="92"/>
      <c r="B155" s="92"/>
      <c r="C155" s="92"/>
      <c r="D155" s="92"/>
      <c r="E155" s="92"/>
      <c r="F155" s="92"/>
      <c r="G155" s="92"/>
      <c r="H155" s="92"/>
      <c r="I155" s="92"/>
      <c r="K155" s="187" t="s">
        <v>126</v>
      </c>
      <c r="L155" s="187"/>
      <c r="M155" s="187"/>
      <c r="N155" s="187" t="s">
        <v>127</v>
      </c>
      <c r="O155" s="187"/>
      <c r="P155" s="187"/>
      <c r="Q155" s="187" t="s">
        <v>128</v>
      </c>
      <c r="R155" s="187"/>
      <c r="S155" s="187"/>
      <c r="T155" s="187" t="s">
        <v>129</v>
      </c>
      <c r="U155" s="187"/>
      <c r="V155" s="187"/>
    </row>
    <row r="156" spans="1:22" ht="26.25" x14ac:dyDescent="0.25">
      <c r="B156" s="89" t="s">
        <v>13</v>
      </c>
      <c r="C156" s="90" t="s">
        <v>87</v>
      </c>
      <c r="D156" s="90" t="s">
        <v>99</v>
      </c>
      <c r="E156" s="89" t="s">
        <v>108</v>
      </c>
      <c r="F156" s="90" t="s">
        <v>101</v>
      </c>
      <c r="H156" s="90"/>
      <c r="K156" s="93" t="s">
        <v>119</v>
      </c>
      <c r="L156" s="93" t="s">
        <v>120</v>
      </c>
      <c r="M156" s="93" t="s">
        <v>121</v>
      </c>
      <c r="N156" s="93" t="s">
        <v>119</v>
      </c>
      <c r="O156" s="93" t="s">
        <v>120</v>
      </c>
      <c r="P156" s="93" t="s">
        <v>121</v>
      </c>
      <c r="Q156" s="93" t="s">
        <v>119</v>
      </c>
      <c r="R156" s="93" t="s">
        <v>120</v>
      </c>
      <c r="S156" s="93" t="s">
        <v>121</v>
      </c>
      <c r="T156" s="93" t="s">
        <v>119</v>
      </c>
      <c r="U156" s="93" t="s">
        <v>120</v>
      </c>
      <c r="V156" s="93" t="s">
        <v>121</v>
      </c>
    </row>
    <row r="157" spans="1:22" ht="12.75" x14ac:dyDescent="0.2">
      <c r="A157" s="76"/>
      <c r="B157" s="90">
        <v>2</v>
      </c>
      <c r="C157" s="86">
        <f>F126</f>
        <v>3.6</v>
      </c>
      <c r="D157" s="86">
        <f>$E$136</f>
        <v>0.71447100240874561</v>
      </c>
      <c r="E157" s="86">
        <f>IF(D157/C157&gt;0.5,0.5,D157/C157)</f>
        <v>0.19846416733576266</v>
      </c>
      <c r="F157" s="91">
        <f>IF($A$63='Rainfall Distribution Coef.'!$K$2,10^(K157+(L157*LOG($E$119))+(M157*(LOG($E$119))^2)),IF($A$63='Rainfall Distribution Coef.'!$K$3,10^(N157+(O157*LOG($E$119))+(P157*(LOG($E$119))^2)),IF($A$63='Rainfall Distribution Coef.'!$K$4,10^(Q157+(R157*LOG($E$119))+(S157*(LOG($E$119))^2)),IF($A$63='Rainfall Distribution Coef.'!$K$5,10^(T157+(U157*LOG($E$119))+(V157*(LOG($E$119))^2)),"UPDATE"))))</f>
        <v>365.78527565574774</v>
      </c>
      <c r="G157" s="75" t="s">
        <v>89</v>
      </c>
      <c r="H157" s="82"/>
      <c r="K157" s="94">
        <f>(IF('Rainfall Distribution Coef.'!$B$7&gt;$E157,'Rainfall Distribution Coef.'!C$7,IF(AND($E157&gt;'Rainfall Distribution Coef.'!$B$7,$E157&lt;'Rainfall Distribution Coef.'!$B$8),'Rainfall Distribution Coef.'!C$7+('Rainfall Distribution Coef.'!C$8-'Rainfall Distribution Coef.'!C$7)*(($E157-'Rainfall Distribution Coef.'!$B$7)/('Rainfall Distribution Coef.'!$B$8-'Rainfall Distribution Coef.'!$B$7)),IF(AND($E157&gt;'Rainfall Distribution Coef.'!$B$8,$E157&lt;'Rainfall Distribution Coef.'!$B$9),'Rainfall Distribution Coef.'!C$8+('Rainfall Distribution Coef.'!C$9-'Rainfall Distribution Coef.'!C$8)*(($E157-'Rainfall Distribution Coef.'!$B$8)/('Rainfall Distribution Coef.'!$B$9-'Rainfall Distribution Coef.'!$B$8)),IF(AND($E157&gt;'Rainfall Distribution Coef.'!$B$9,$E157&lt;'Rainfall Distribution Coef.'!$B$10),'Rainfall Distribution Coef.'!C$9+('Rainfall Distribution Coef.'!C$10-'Rainfall Distribution Coef.'!C$9)*(($E157-'Rainfall Distribution Coef.'!$B$9)/('Rainfall Distribution Coef.'!$B$10-'Rainfall Distribution Coef.'!$B$9)),IF(AND($E157&gt;'Rainfall Distribution Coef.'!$B$10,$E157&lt;'Rainfall Distribution Coef.'!$B$11),'Rainfall Distribution Coef.'!C$10+('Rainfall Distribution Coef.'!C$11-'Rainfall Distribution Coef.'!C$10)*(($E157-'Rainfall Distribution Coef.'!$B$10)/('Rainfall Distribution Coef.'!$B$11-'Rainfall Distribution Coef.'!$B$10)),IF(AND($E157&gt;'Rainfall Distribution Coef.'!$B$11,$E157&lt;'Rainfall Distribution Coef.'!$B$12),'Rainfall Distribution Coef.'!C$11+('Rainfall Distribution Coef.'!C$12-'Rainfall Distribution Coef.'!C$11)*(($E157-'Rainfall Distribution Coef.'!$B$11)/('Rainfall Distribution Coef.'!$B$12-'Rainfall Distribution Coef.'!$B$11)),IF(AND($E157&gt;'Rainfall Distribution Coef.'!$B$12,$E157&lt;'Rainfall Distribution Coef.'!$B$13),'Rainfall Distribution Coef.'!C$12+('Rainfall Distribution Coef.'!C$13-'Rainfall Distribution Coef.'!C$12)*(($E157-'Rainfall Distribution Coef.'!$B$12)/('Rainfall Distribution Coef.'!$B$13-'Rainfall Distribution Coef.'!$B$12)),0))))))))+IF(AND($E157&gt;'Rainfall Distribution Coef.'!$B$13,$E157&lt;'Rainfall Distribution Coef.'!$B$14),'Rainfall Distribution Coef.'!C$13+('Rainfall Distribution Coef.'!C$14-'Rainfall Distribution Coef.'!C$13)*(($E157-'Rainfall Distribution Coef.'!$B$13)/('Rainfall Distribution Coef.'!$B$14-'Rainfall Distribution Coef.'!$B$13)),IF($E157='Rainfall Distribution Coef.'!$B$14,'Rainfall Distribution Coef.'!C$14,0))</f>
        <v>2.2364470794474296</v>
      </c>
      <c r="L157" s="94">
        <f>(IF('Rainfall Distribution Coef.'!$B$7&gt;$E157,'Rainfall Distribution Coef.'!D$7,IF(AND($E157&gt;'Rainfall Distribution Coef.'!$B$7,$E157&lt;'Rainfall Distribution Coef.'!$B$8),'Rainfall Distribution Coef.'!D$7+('Rainfall Distribution Coef.'!D$8-'Rainfall Distribution Coef.'!D$7)*(($E157-'Rainfall Distribution Coef.'!$B$7)/('Rainfall Distribution Coef.'!$B$8-'Rainfall Distribution Coef.'!$B$7)),IF(AND($E157&gt;'Rainfall Distribution Coef.'!$B$8,$E157&lt;'Rainfall Distribution Coef.'!$B$9),'Rainfall Distribution Coef.'!D$8+('Rainfall Distribution Coef.'!D$9-'Rainfall Distribution Coef.'!D$8)*(($E157-'Rainfall Distribution Coef.'!$B$8)/('Rainfall Distribution Coef.'!$B$9-'Rainfall Distribution Coef.'!$B$8)),IF(AND($E157&gt;'Rainfall Distribution Coef.'!$B$9,$E157&lt;'Rainfall Distribution Coef.'!$B$10),'Rainfall Distribution Coef.'!D$9+('Rainfall Distribution Coef.'!D$10-'Rainfall Distribution Coef.'!D$9)*(($E157-'Rainfall Distribution Coef.'!$B$9)/('Rainfall Distribution Coef.'!$B$10-'Rainfall Distribution Coef.'!$B$9)),IF(AND($E157&gt;'Rainfall Distribution Coef.'!$B$10,$E157&lt;'Rainfall Distribution Coef.'!$B$11),'Rainfall Distribution Coef.'!D$10+('Rainfall Distribution Coef.'!D$11-'Rainfall Distribution Coef.'!D$10)*(($E157-'Rainfall Distribution Coef.'!$B$10)/('Rainfall Distribution Coef.'!$B$11-'Rainfall Distribution Coef.'!$B$10)),IF(AND($E157&gt;'Rainfall Distribution Coef.'!$B$11,$E157&lt;'Rainfall Distribution Coef.'!$B$12),'Rainfall Distribution Coef.'!D$11+('Rainfall Distribution Coef.'!D$12-'Rainfall Distribution Coef.'!D$11)*(($E157-'Rainfall Distribution Coef.'!$B$11)/('Rainfall Distribution Coef.'!$B$12-'Rainfall Distribution Coef.'!$B$11)),IF(AND($E157&gt;'Rainfall Distribution Coef.'!$B$12,$E157&lt;'Rainfall Distribution Coef.'!$B$13),'Rainfall Distribution Coef.'!D$12+('Rainfall Distribution Coef.'!D$13-'Rainfall Distribution Coef.'!D$12)*(($E157-'Rainfall Distribution Coef.'!$B$12)/('Rainfall Distribution Coef.'!$B$13-'Rainfall Distribution Coef.'!$B$12)),0))))))))+IF(AND($E157&gt;'Rainfall Distribution Coef.'!$B$13,$E157&lt;'Rainfall Distribution Coef.'!$B$14),'Rainfall Distribution Coef.'!D$13+('Rainfall Distribution Coef.'!D$14-'Rainfall Distribution Coef.'!D$13)*(($E157-'Rainfall Distribution Coef.'!$B$13)/('Rainfall Distribution Coef.'!$B$14-'Rainfall Distribution Coef.'!$B$13)),IF($E157='Rainfall Distribution Coef.'!$B$14,'Rainfall Distribution Coef.'!D$14,0))</f>
        <v>-0.50403003376361355</v>
      </c>
      <c r="M157" s="94">
        <f>(IF('Rainfall Distribution Coef.'!$B$7&gt;$E157,'Rainfall Distribution Coef.'!E$7,IF(AND($E157&gt;'Rainfall Distribution Coef.'!$B$7,$E157&lt;'Rainfall Distribution Coef.'!$B$8),'Rainfall Distribution Coef.'!E$7+('Rainfall Distribution Coef.'!E$8-'Rainfall Distribution Coef.'!E$7)*(($E157-'Rainfall Distribution Coef.'!$B$7)/('Rainfall Distribution Coef.'!$B$8-'Rainfall Distribution Coef.'!$B$7)),IF(AND($E157&gt;'Rainfall Distribution Coef.'!$B$8,$E157&lt;'Rainfall Distribution Coef.'!$B$9),'Rainfall Distribution Coef.'!E$8+('Rainfall Distribution Coef.'!E$9-'Rainfall Distribution Coef.'!E$8)*(($E157-'Rainfall Distribution Coef.'!$B$8)/('Rainfall Distribution Coef.'!$B$9-'Rainfall Distribution Coef.'!$B$8)),IF(AND($E157&gt;'Rainfall Distribution Coef.'!$B$9,$E157&lt;'Rainfall Distribution Coef.'!$B$10),'Rainfall Distribution Coef.'!E$9+('Rainfall Distribution Coef.'!E$10-'Rainfall Distribution Coef.'!E$9)*(($E157-'Rainfall Distribution Coef.'!$B$9)/('Rainfall Distribution Coef.'!$B$10-'Rainfall Distribution Coef.'!$B$9)),IF(AND($E157&gt;'Rainfall Distribution Coef.'!$B$10,$E157&lt;'Rainfall Distribution Coef.'!$B$11),'Rainfall Distribution Coef.'!E$10+('Rainfall Distribution Coef.'!E$11-'Rainfall Distribution Coef.'!E$10)*(($E157-'Rainfall Distribution Coef.'!$B$10)/('Rainfall Distribution Coef.'!$B$11-'Rainfall Distribution Coef.'!$B$10)),IF(AND($E157&gt;'Rainfall Distribution Coef.'!$B$11,$E157&lt;'Rainfall Distribution Coef.'!$B$12),'Rainfall Distribution Coef.'!E$11+('Rainfall Distribution Coef.'!E$12-'Rainfall Distribution Coef.'!E$11)*(($E157-'Rainfall Distribution Coef.'!$B$11)/('Rainfall Distribution Coef.'!$B$12-'Rainfall Distribution Coef.'!$B$11)),IF(AND($E157&gt;'Rainfall Distribution Coef.'!$B$12,$E157&lt;'Rainfall Distribution Coef.'!$B$13),'Rainfall Distribution Coef.'!E$12+('Rainfall Distribution Coef.'!E$13-'Rainfall Distribution Coef.'!E$12)*(($E157-'Rainfall Distribution Coef.'!$B$12)/('Rainfall Distribution Coef.'!$B$13-'Rainfall Distribution Coef.'!$B$12)),0))))))))+IF(AND($E157&gt;'Rainfall Distribution Coef.'!$B$13,$E157&lt;'Rainfall Distribution Coef.'!$B$14),'Rainfall Distribution Coef.'!E$13+('Rainfall Distribution Coef.'!E$14-'Rainfall Distribution Coef.'!E$13)*(($E157-'Rainfall Distribution Coef.'!$B$13)/('Rainfall Distribution Coef.'!$B$14-'Rainfall Distribution Coef.'!$B$13)),IF($E157='Rainfall Distribution Coef.'!$B$14,'Rainfall Distribution Coef.'!E$14,0))</f>
        <v>-8.9723258394581354E-2</v>
      </c>
      <c r="N157" s="94">
        <f>(IF('Rainfall Distribution Coef.'!$B$16&gt;$E157,'Rainfall Distribution Coef.'!C$16,IF(AND($E157&gt;'Rainfall Distribution Coef.'!$B$16,$E157&lt;'Rainfall Distribution Coef.'!$B$17),'Rainfall Distribution Coef.'!C$16+('Rainfall Distribution Coef.'!C$17-'Rainfall Distribution Coef.'!C$16)*(($E157-'Rainfall Distribution Coef.'!$B$16)/('Rainfall Distribution Coef.'!$B$17-'Rainfall Distribution Coef.'!$B$16)),IF(AND($E157&gt;'Rainfall Distribution Coef.'!$B$17,$E157&lt;'Rainfall Distribution Coef.'!$B$18),'Rainfall Distribution Coef.'!C$17+('Rainfall Distribution Coef.'!C$18-'Rainfall Distribution Coef.'!C$17)*(($E157-'Rainfall Distribution Coef.'!$B$17)/('Rainfall Distribution Coef.'!$B$18-'Rainfall Distribution Coef.'!$B$17)),IF(AND($E157&gt;'Rainfall Distribution Coef.'!$B$18,$E157&lt;'Rainfall Distribution Coef.'!$B$19),'Rainfall Distribution Coef.'!C$18+('Rainfall Distribution Coef.'!C$19-'Rainfall Distribution Coef.'!C$18)*(($E157-'Rainfall Distribution Coef.'!$B$18)/('Rainfall Distribution Coef.'!$B$19-'Rainfall Distribution Coef.'!$B$18)),IF(AND($E157&gt;'Rainfall Distribution Coef.'!$B$19,$E157&lt;'Rainfall Distribution Coef.'!$B$20),'Rainfall Distribution Coef.'!C$19+('Rainfall Distribution Coef.'!C$20-'Rainfall Distribution Coef.'!C$19)*(($E157-'Rainfall Distribution Coef.'!$B$19)/('Rainfall Distribution Coef.'!$B$20-'Rainfall Distribution Coef.'!$B$19)),IF($E157='Rainfall Distribution Coef.'!$B$20,'Rainfall Distribution Coef.'!C$20,0)))))))</f>
        <v>1.9215111905791284</v>
      </c>
      <c r="O157" s="94">
        <f>(IF('Rainfall Distribution Coef.'!$B$16&gt;$E157,'Rainfall Distribution Coef.'!D$16,IF(AND($E157&gt;'Rainfall Distribution Coef.'!$B$16,$E157&lt;'Rainfall Distribution Coef.'!$B$17),'Rainfall Distribution Coef.'!D$16+('Rainfall Distribution Coef.'!D$17-'Rainfall Distribution Coef.'!D$16)*(($E157-'Rainfall Distribution Coef.'!$B$16)/('Rainfall Distribution Coef.'!$B$17-'Rainfall Distribution Coef.'!$B$16)),IF(AND($E157&gt;'Rainfall Distribution Coef.'!$B$17,$E157&lt;'Rainfall Distribution Coef.'!$B$18),'Rainfall Distribution Coef.'!D$17+('Rainfall Distribution Coef.'!D$18-'Rainfall Distribution Coef.'!D$17)*(($E157-'Rainfall Distribution Coef.'!$B$17)/('Rainfall Distribution Coef.'!$B$18-'Rainfall Distribution Coef.'!$B$17)),IF(AND($E157&gt;'Rainfall Distribution Coef.'!$B$18,$E157&lt;'Rainfall Distribution Coef.'!$B$19),'Rainfall Distribution Coef.'!D$18+('Rainfall Distribution Coef.'!D$19-'Rainfall Distribution Coef.'!D$18)*(($E157-'Rainfall Distribution Coef.'!$B$18)/('Rainfall Distribution Coef.'!$B$19-'Rainfall Distribution Coef.'!$B$18)),IF(AND($E157&gt;'Rainfall Distribution Coef.'!$B$19,$E157&lt;'Rainfall Distribution Coef.'!$B$20),'Rainfall Distribution Coef.'!D$19+('Rainfall Distribution Coef.'!D$20-'Rainfall Distribution Coef.'!D$19)*(($E157-'Rainfall Distribution Coef.'!$B$19)/('Rainfall Distribution Coef.'!$B$20-'Rainfall Distribution Coef.'!$B$19)),IF($E157='Rainfall Distribution Coef.'!$B$20,'Rainfall Distribution Coef.'!D$20,0)))))))</f>
        <v>-0.28266726844131518</v>
      </c>
      <c r="P157" s="94">
        <f>(IF('Rainfall Distribution Coef.'!$B$16&gt;$E157,'Rainfall Distribution Coef.'!E$16,IF(AND($E157&gt;'Rainfall Distribution Coef.'!$B$16,$E157&lt;'Rainfall Distribution Coef.'!$B$17),'Rainfall Distribution Coef.'!E$16+('Rainfall Distribution Coef.'!E$17-'Rainfall Distribution Coef.'!E$16)*(($E157-'Rainfall Distribution Coef.'!$B$16)/('Rainfall Distribution Coef.'!$B$17-'Rainfall Distribution Coef.'!$B$16)),IF(AND($E157&gt;'Rainfall Distribution Coef.'!$B$17,$E157&lt;'Rainfall Distribution Coef.'!$B$18),'Rainfall Distribution Coef.'!E$17+('Rainfall Distribution Coef.'!E$18-'Rainfall Distribution Coef.'!E$17)*(($E157-'Rainfall Distribution Coef.'!$B$17)/('Rainfall Distribution Coef.'!$B$18-'Rainfall Distribution Coef.'!$B$17)),IF(AND($E157&gt;'Rainfall Distribution Coef.'!$B$18,$E157&lt;'Rainfall Distribution Coef.'!$B$19),'Rainfall Distribution Coef.'!E$18+('Rainfall Distribution Coef.'!E$19-'Rainfall Distribution Coef.'!E$18)*(($E157-'Rainfall Distribution Coef.'!$B$18)/('Rainfall Distribution Coef.'!$B$19-'Rainfall Distribution Coef.'!$B$18)),IF(AND($E157&gt;'Rainfall Distribution Coef.'!$B$19,$E157&lt;'Rainfall Distribution Coef.'!$B$20),'Rainfall Distribution Coef.'!E$19+('Rainfall Distribution Coef.'!E$20-'Rainfall Distribution Coef.'!E$19)*(($E157-'Rainfall Distribution Coef.'!$B$19)/('Rainfall Distribution Coef.'!$B$20-'Rainfall Distribution Coef.'!$B$19)),IF($E157='Rainfall Distribution Coef.'!$B$20,'Rainfall Distribution Coef.'!E$20,0)))))))</f>
        <v>-7.1233308216498883E-2</v>
      </c>
      <c r="Q157" s="95">
        <f>(IF('Rainfall Distribution Coef.'!$B$22&gt;$E157,'Rainfall Distribution Coef.'!C$22,IF(AND($E157&gt;'Rainfall Distribution Coef.'!$B$22,$E157&lt;'Rainfall Distribution Coef.'!$B$23),'Rainfall Distribution Coef.'!C$22+('Rainfall Distribution Coef.'!C$23-'Rainfall Distribution Coef.'!C$22)*(($E157-'Rainfall Distribution Coef.'!$B$22)/('Rainfall Distribution Coef.'!$B$23-'Rainfall Distribution Coef.'!$B$22)),IF(AND($E157&gt;'Rainfall Distribution Coef.'!$B$23,$E157&lt;'Rainfall Distribution Coef.'!$B$24),'Rainfall Distribution Coef.'!C$23+('Rainfall Distribution Coef.'!C$24-'Rainfall Distribution Coef.'!C$23)*(($E157-'Rainfall Distribution Coef.'!$B$23)/('Rainfall Distribution Coef.'!$B$24-'Rainfall Distribution Coef.'!$B$23)),IF(AND($E157&gt;'Rainfall Distribution Coef.'!$B$24,$E157&lt;'Rainfall Distribution Coef.'!$B$25),'Rainfall Distribution Coef.'!C$24+('Rainfall Distribution Coef.'!C$25-'Rainfall Distribution Coef.'!C$24)*(($E157-'Rainfall Distribution Coef.'!$B$24)/('Rainfall Distribution Coef.'!$B$25-'Rainfall Distribution Coef.'!$B$24)),IF(AND($E157&gt;'Rainfall Distribution Coef.'!$B$25,$E157&lt;'Rainfall Distribution Coef.'!$B$26),'Rainfall Distribution Coef.'!C$25+('Rainfall Distribution Coef.'!C$26-'Rainfall Distribution Coef.'!C$25)*(($E157-'Rainfall Distribution Coef.'!$B$25)/('Rainfall Distribution Coef.'!$B$26-'Rainfall Distribution Coef.'!$B$25)),IF(AND($E157&gt;'Rainfall Distribution Coef.'!$B$26,$E157&lt;'Rainfall Distribution Coef.'!$B$27),'Rainfall Distribution Coef.'!C$26+('Rainfall Distribution Coef.'!C$27-'Rainfall Distribution Coef.'!C$26)*(($E157-'Rainfall Distribution Coef.'!$B$26)/('Rainfall Distribution Coef.'!$B$27-'Rainfall Distribution Coef.'!$B$26)), IF($E157='Rainfall Distribution Coef.'!$B$27,'Rainfall Distribution Coef.'!C$27,0))))))))</f>
        <v>2.5099500752475659</v>
      </c>
      <c r="R157" s="95">
        <f>(IF('Rainfall Distribution Coef.'!$B$22&gt;$E157,'Rainfall Distribution Coef.'!D$22,IF(AND($E157&gt;'Rainfall Distribution Coef.'!$B$22,$E157&lt;'Rainfall Distribution Coef.'!$B$23),'Rainfall Distribution Coef.'!D$22+('Rainfall Distribution Coef.'!D$23-'Rainfall Distribution Coef.'!D$22)*(($E157-'Rainfall Distribution Coef.'!$B$22)/('Rainfall Distribution Coef.'!$B$23-'Rainfall Distribution Coef.'!$B$22)),IF(AND($E157&gt;'Rainfall Distribution Coef.'!$B$23,$E157&lt;'Rainfall Distribution Coef.'!$B$24),'Rainfall Distribution Coef.'!D$23+('Rainfall Distribution Coef.'!D$24-'Rainfall Distribution Coef.'!D$23)*(($E157-'Rainfall Distribution Coef.'!$B$23)/('Rainfall Distribution Coef.'!$B$24-'Rainfall Distribution Coef.'!$B$23)),IF(AND($E157&gt;'Rainfall Distribution Coef.'!$B$24,$E157&lt;'Rainfall Distribution Coef.'!$B$25),'Rainfall Distribution Coef.'!D$24+('Rainfall Distribution Coef.'!D$25-'Rainfall Distribution Coef.'!D$24)*(($E157-'Rainfall Distribution Coef.'!$B$24)/('Rainfall Distribution Coef.'!$B$25-'Rainfall Distribution Coef.'!$B$24)),IF(AND($E157&gt;'Rainfall Distribution Coef.'!$B$25,$E157&lt;'Rainfall Distribution Coef.'!$B$26),'Rainfall Distribution Coef.'!D$25+('Rainfall Distribution Coef.'!D$26-'Rainfall Distribution Coef.'!D$25)*(($E157-'Rainfall Distribution Coef.'!$B$25)/('Rainfall Distribution Coef.'!$B$26-'Rainfall Distribution Coef.'!$B$25)),IF(AND($E157&gt;'Rainfall Distribution Coef.'!$B$26,$E157&lt;'Rainfall Distribution Coef.'!$B$27),'Rainfall Distribution Coef.'!D$26+('Rainfall Distribution Coef.'!D$27-'Rainfall Distribution Coef.'!D$26)*(($E157-'Rainfall Distribution Coef.'!$B$26)/('Rainfall Distribution Coef.'!$B$27-'Rainfall Distribution Coef.'!$B$26)), IF($E157='Rainfall Distribution Coef.'!$B$27,'Rainfall Distribution Coef.'!D$27,0))))))))</f>
        <v>-0.61878779023325714</v>
      </c>
      <c r="S157" s="95">
        <f>(IF('Rainfall Distribution Coef.'!$B$22&gt;$E157,'Rainfall Distribution Coef.'!E$22,IF(AND($E157&gt;'Rainfall Distribution Coef.'!$B$22,$E157&lt;'Rainfall Distribution Coef.'!$B$23),'Rainfall Distribution Coef.'!E$22+('Rainfall Distribution Coef.'!E$23-'Rainfall Distribution Coef.'!E$22)*(($E157-'Rainfall Distribution Coef.'!$B$22)/('Rainfall Distribution Coef.'!$B$23-'Rainfall Distribution Coef.'!$B$22)),IF(AND($E157&gt;'Rainfall Distribution Coef.'!$B$23,$E157&lt;'Rainfall Distribution Coef.'!$B$24),'Rainfall Distribution Coef.'!E$23+('Rainfall Distribution Coef.'!E$24-'Rainfall Distribution Coef.'!E$23)*(($E157-'Rainfall Distribution Coef.'!$B$23)/('Rainfall Distribution Coef.'!$B$24-'Rainfall Distribution Coef.'!$B$23)),IF(AND($E157&gt;'Rainfall Distribution Coef.'!$B$24,$E157&lt;'Rainfall Distribution Coef.'!$B$25),'Rainfall Distribution Coef.'!E$24+('Rainfall Distribution Coef.'!E$25-'Rainfall Distribution Coef.'!E$24)*(($E157-'Rainfall Distribution Coef.'!$B$24)/('Rainfall Distribution Coef.'!$B$25-'Rainfall Distribution Coef.'!$B$24)),IF(AND($E157&gt;'Rainfall Distribution Coef.'!$B$25,$E157&lt;'Rainfall Distribution Coef.'!$B$26),'Rainfall Distribution Coef.'!E$25+('Rainfall Distribution Coef.'!E$26-'Rainfall Distribution Coef.'!E$25)*(($E157-'Rainfall Distribution Coef.'!$B$25)/('Rainfall Distribution Coef.'!$B$26-'Rainfall Distribution Coef.'!$B$25)),IF(AND($E157&gt;'Rainfall Distribution Coef.'!$B$26,$E157&lt;'Rainfall Distribution Coef.'!$B$27),'Rainfall Distribution Coef.'!E$26+('Rainfall Distribution Coef.'!E$27-'Rainfall Distribution Coef.'!E$26)*(($E157-'Rainfall Distribution Coef.'!$B$26)/('Rainfall Distribution Coef.'!$B$27-'Rainfall Distribution Coef.'!$B$26)), IF($E157='Rainfall Distribution Coef.'!$B$27,'Rainfall Distribution Coef.'!E$27,0))))))))</f>
        <v>-0.14066445309122352</v>
      </c>
      <c r="T157" s="95">
        <f>(IF('Rainfall Distribution Coef.'!$B$29&gt;$E157,'Rainfall Distribution Coef.'!C$29,IF(AND($E157&gt;'Rainfall Distribution Coef.'!$B$29,$E157&lt;'Rainfall Distribution Coef.'!$B$30),'Rainfall Distribution Coef.'!C$29+('Rainfall Distribution Coef.'!C$30-'Rainfall Distribution Coef.'!C$29)*(($E157-'Rainfall Distribution Coef.'!$B$29)/('Rainfall Distribution Coef.'!$B$30-'Rainfall Distribution Coef.'!$B$29)),IF(AND($E157&gt;'Rainfall Distribution Coef.'!$B$30,$E157&lt;'Rainfall Distribution Coef.'!$B$31),'Rainfall Distribution Coef.'!C$30+('Rainfall Distribution Coef.'!C$31-'Rainfall Distribution Coef.'!C$30)*(($E157-'Rainfall Distribution Coef.'!$B$30)/('Rainfall Distribution Coef.'!$B$31-'Rainfall Distribution Coef.'!$B$30)),IF(AND($E157&gt;'Rainfall Distribution Coef.'!$B$31,$E157&lt;'Rainfall Distribution Coef.'!$B$32),'Rainfall Distribution Coef.'!C$31+('Rainfall Distribution Coef.'!C$32-'Rainfall Distribution Coef.'!C$31)*(($E157-'Rainfall Distribution Coef.'!$B$31)/('Rainfall Distribution Coef.'!$B$32-'Rainfall Distribution Coef.'!$B$31)),IF(AND($E157&gt;'Rainfall Distribution Coef.'!$B$32,$E157&lt;'Rainfall Distribution Coef.'!$B$33),'Rainfall Distribution Coef.'!C$32+('Rainfall Distribution Coef.'!C$33-'Rainfall Distribution Coef.'!C$32)*(($E157-'Rainfall Distribution Coef.'!$B$32)/('Rainfall Distribution Coef.'!$B$33-'Rainfall Distribution Coef.'!$B$32)),IF(AND($E157&gt;'Rainfall Distribution Coef.'!$B$33,$E157&lt;'Rainfall Distribution Coef.'!$B$34),'Rainfall Distribution Coef.'!C$33+('Rainfall Distribution Coef.'!C$34-'Rainfall Distribution Coef.'!C$33)*(($E157-'Rainfall Distribution Coef.'!$B$33)/('Rainfall Distribution Coef.'!$B$34-'Rainfall Distribution Coef.'!$B$33)), IF($E157='Rainfall Distribution Coef.'!$B$34,'Rainfall Distribution Coef.'!C$34,0))))))))</f>
        <v>2.4353154508677659</v>
      </c>
      <c r="U157" s="95">
        <f>(IF('Rainfall Distribution Coef.'!$B$29&gt;$E157,'Rainfall Distribution Coef.'!D$29,IF(AND($E157&gt;'Rainfall Distribution Coef.'!$B$29,$E157&lt;'Rainfall Distribution Coef.'!$B$30),'Rainfall Distribution Coef.'!D$29+('Rainfall Distribution Coef.'!D$30-'Rainfall Distribution Coef.'!D$29)*(($E157-'Rainfall Distribution Coef.'!$B$29)/('Rainfall Distribution Coef.'!$B$30-'Rainfall Distribution Coef.'!$B$29)),IF(AND($E157&gt;'Rainfall Distribution Coef.'!$B$30,$E157&lt;'Rainfall Distribution Coef.'!$B$31),'Rainfall Distribution Coef.'!D$30+('Rainfall Distribution Coef.'!D$31-'Rainfall Distribution Coef.'!D$30)*(($E157-'Rainfall Distribution Coef.'!$B$30)/('Rainfall Distribution Coef.'!$B$31-'Rainfall Distribution Coef.'!$B$30)),IF(AND($E157&gt;'Rainfall Distribution Coef.'!$B$31,$E157&lt;'Rainfall Distribution Coef.'!$B$32),'Rainfall Distribution Coef.'!D$31+('Rainfall Distribution Coef.'!D$32-'Rainfall Distribution Coef.'!D$31)*(($E157-'Rainfall Distribution Coef.'!$B$31)/('Rainfall Distribution Coef.'!$B$32-'Rainfall Distribution Coef.'!$B$31)),IF(AND($E157&gt;'Rainfall Distribution Coef.'!$B$32,$E157&lt;'Rainfall Distribution Coef.'!$B$33),'Rainfall Distribution Coef.'!D$32+('Rainfall Distribution Coef.'!D$33-'Rainfall Distribution Coef.'!D$32)*(($E157-'Rainfall Distribution Coef.'!$B$32)/('Rainfall Distribution Coef.'!$B$33-'Rainfall Distribution Coef.'!$B$32)),IF(AND($E157&gt;'Rainfall Distribution Coef.'!$B$33,$E157&lt;'Rainfall Distribution Coef.'!$B$34),'Rainfall Distribution Coef.'!D$33+('Rainfall Distribution Coef.'!D$34-'Rainfall Distribution Coef.'!D$33)*(($E157-'Rainfall Distribution Coef.'!$B$33)/('Rainfall Distribution Coef.'!$B$34-'Rainfall Distribution Coef.'!$B$33)), IF($E157='Rainfall Distribution Coef.'!$B$34,'Rainfall Distribution Coef.'!D$34,0))))))))</f>
        <v>-0.51529960739505487</v>
      </c>
      <c r="V157" s="95">
        <f>(IF('Rainfall Distribution Coef.'!$B$29&gt;$E157,'Rainfall Distribution Coef.'!E$29,IF(AND($E157&gt;'Rainfall Distribution Coef.'!$B$29,$E157&lt;'Rainfall Distribution Coef.'!$B$30),'Rainfall Distribution Coef.'!E$29+('Rainfall Distribution Coef.'!E$30-'Rainfall Distribution Coef.'!E$29)*(($E157-'Rainfall Distribution Coef.'!$B$29)/('Rainfall Distribution Coef.'!$B$30-'Rainfall Distribution Coef.'!$B$29)),IF(AND($E157&gt;'Rainfall Distribution Coef.'!$B$30,$E157&lt;'Rainfall Distribution Coef.'!$B$31),'Rainfall Distribution Coef.'!E$30+('Rainfall Distribution Coef.'!E$31-'Rainfall Distribution Coef.'!E$30)*(($E157-'Rainfall Distribution Coef.'!$B$30)/('Rainfall Distribution Coef.'!$B$31-'Rainfall Distribution Coef.'!$B$30)),IF(AND($E157&gt;'Rainfall Distribution Coef.'!$B$31,$E157&lt;'Rainfall Distribution Coef.'!$B$32),'Rainfall Distribution Coef.'!E$31+('Rainfall Distribution Coef.'!E$32-'Rainfall Distribution Coef.'!E$31)*(($E157-'Rainfall Distribution Coef.'!$B$31)/('Rainfall Distribution Coef.'!$B$32-'Rainfall Distribution Coef.'!$B$31)),IF(AND($E157&gt;'Rainfall Distribution Coef.'!$B$32,$E157&lt;'Rainfall Distribution Coef.'!$B$33),'Rainfall Distribution Coef.'!E$32+('Rainfall Distribution Coef.'!E$33-'Rainfall Distribution Coef.'!E$32)*(($E157-'Rainfall Distribution Coef.'!$B$32)/('Rainfall Distribution Coef.'!$B$33-'Rainfall Distribution Coef.'!$B$32)),IF(AND($E157&gt;'Rainfall Distribution Coef.'!$B$33,$E157&lt;'Rainfall Distribution Coef.'!$B$34),'Rainfall Distribution Coef.'!E$33+('Rainfall Distribution Coef.'!E$34-'Rainfall Distribution Coef.'!E$33)*(($E157-'Rainfall Distribution Coef.'!$B$33)/('Rainfall Distribution Coef.'!$B$34-'Rainfall Distribution Coef.'!$B$33)), IF($E157='Rainfall Distribution Coef.'!$B$34,'Rainfall Distribution Coef.'!E$34,0))))))))</f>
        <v>-0.15193472628826715</v>
      </c>
    </row>
    <row r="158" spans="1:22" ht="12.75" x14ac:dyDescent="0.2">
      <c r="B158" s="90">
        <v>10</v>
      </c>
      <c r="C158" s="86">
        <f>F127</f>
        <v>5.3</v>
      </c>
      <c r="D158" s="86">
        <f>$E$136</f>
        <v>0.71447100240874561</v>
      </c>
      <c r="E158" s="86">
        <f>IF(D158/C158&gt;0.5,0.5,D158/C158)</f>
        <v>0.13480584951108407</v>
      </c>
      <c r="F158" s="91">
        <f>IF($A$63='Rainfall Distribution Coef.'!$K$2,10^(K158+(L158*LOG($E$119))+(M158*(LOG($E$119))^2)),IF($A$63='Rainfall Distribution Coef.'!$K$3,10^(N158+(O158*LOG($E$119))+(P158*(LOG($E$119))^2)),IF($A$63='Rainfall Distribution Coef.'!$K$4,10^(Q158+(R158*LOG($E$119))+(S158*(LOG($E$119))^2)),IF($A$63='Rainfall Distribution Coef.'!$K$5,10^(T158+(U158*LOG($E$119))+(V158*(LOG($E$119))^2)),"UPDATE"))))</f>
        <v>389.83634175991114</v>
      </c>
      <c r="G158" s="75" t="s">
        <v>89</v>
      </c>
      <c r="H158" s="82"/>
      <c r="K158" s="94">
        <f>(IF('Rainfall Distribution Coef.'!$B$7&gt;$E158,'Rainfall Distribution Coef.'!C$7,IF(AND($E158&gt;'Rainfall Distribution Coef.'!$B$7,$E158&lt;'Rainfall Distribution Coef.'!$B$8),'Rainfall Distribution Coef.'!C$7+('Rainfall Distribution Coef.'!C$8-'Rainfall Distribution Coef.'!C$7)*(($E158-'Rainfall Distribution Coef.'!$B$7)/('Rainfall Distribution Coef.'!$B$8-'Rainfall Distribution Coef.'!$B$7)),IF(AND($E158&gt;'Rainfall Distribution Coef.'!$B$8,$E158&lt;'Rainfall Distribution Coef.'!$B$9),'Rainfall Distribution Coef.'!C$8+('Rainfall Distribution Coef.'!C$9-'Rainfall Distribution Coef.'!C$8)*(($E158-'Rainfall Distribution Coef.'!$B$8)/('Rainfall Distribution Coef.'!$B$9-'Rainfall Distribution Coef.'!$B$8)),IF(AND($E158&gt;'Rainfall Distribution Coef.'!$B$9,$E158&lt;'Rainfall Distribution Coef.'!$B$10),'Rainfall Distribution Coef.'!C$9+('Rainfall Distribution Coef.'!C$10-'Rainfall Distribution Coef.'!C$9)*(($E158-'Rainfall Distribution Coef.'!$B$9)/('Rainfall Distribution Coef.'!$B$10-'Rainfall Distribution Coef.'!$B$9)),IF(AND($E158&gt;'Rainfall Distribution Coef.'!$B$10,$E158&lt;'Rainfall Distribution Coef.'!$B$11),'Rainfall Distribution Coef.'!C$10+('Rainfall Distribution Coef.'!C$11-'Rainfall Distribution Coef.'!C$10)*(($E158-'Rainfall Distribution Coef.'!$B$10)/('Rainfall Distribution Coef.'!$B$11-'Rainfall Distribution Coef.'!$B$10)),IF(AND($E158&gt;'Rainfall Distribution Coef.'!$B$11,$E158&lt;'Rainfall Distribution Coef.'!$B$12),'Rainfall Distribution Coef.'!C$11+('Rainfall Distribution Coef.'!C$12-'Rainfall Distribution Coef.'!C$11)*(($E158-'Rainfall Distribution Coef.'!$B$11)/('Rainfall Distribution Coef.'!$B$12-'Rainfall Distribution Coef.'!$B$11)),IF(AND($E158&gt;'Rainfall Distribution Coef.'!$B$12,$E158&lt;'Rainfall Distribution Coef.'!$B$13),'Rainfall Distribution Coef.'!C$12+('Rainfall Distribution Coef.'!C$13-'Rainfall Distribution Coef.'!C$12)*(($E158-'Rainfall Distribution Coef.'!$B$12)/('Rainfall Distribution Coef.'!$B$13-'Rainfall Distribution Coef.'!$B$12)),0))))))))+IF(AND($E158&gt;'Rainfall Distribution Coef.'!$B$13,$E158&lt;'Rainfall Distribution Coef.'!$B$14),'Rainfall Distribution Coef.'!C$13+('Rainfall Distribution Coef.'!C$14-'Rainfall Distribution Coef.'!C$13)*(($E158-'Rainfall Distribution Coef.'!$B$13)/('Rainfall Distribution Coef.'!$B$14-'Rainfall Distribution Coef.'!$B$13)),IF($E158='Rainfall Distribution Coef.'!$B$14,'Rainfall Distribution Coef.'!C$14,0))</f>
        <v>2.2810906577378769</v>
      </c>
      <c r="L158" s="94">
        <f>(IF('Rainfall Distribution Coef.'!$B$7&gt;$E158,'Rainfall Distribution Coef.'!D$7,IF(AND($E158&gt;'Rainfall Distribution Coef.'!$B$7,$E158&lt;'Rainfall Distribution Coef.'!$B$8),'Rainfall Distribution Coef.'!D$7+('Rainfall Distribution Coef.'!D$8-'Rainfall Distribution Coef.'!D$7)*(($E158-'Rainfall Distribution Coef.'!$B$7)/('Rainfall Distribution Coef.'!$B$8-'Rainfall Distribution Coef.'!$B$7)),IF(AND($E158&gt;'Rainfall Distribution Coef.'!$B$8,$E158&lt;'Rainfall Distribution Coef.'!$B$9),'Rainfall Distribution Coef.'!D$8+('Rainfall Distribution Coef.'!D$9-'Rainfall Distribution Coef.'!D$8)*(($E158-'Rainfall Distribution Coef.'!$B$8)/('Rainfall Distribution Coef.'!$B$9-'Rainfall Distribution Coef.'!$B$8)),IF(AND($E158&gt;'Rainfall Distribution Coef.'!$B$9,$E158&lt;'Rainfall Distribution Coef.'!$B$10),'Rainfall Distribution Coef.'!D$9+('Rainfall Distribution Coef.'!D$10-'Rainfall Distribution Coef.'!D$9)*(($E158-'Rainfall Distribution Coef.'!$B$9)/('Rainfall Distribution Coef.'!$B$10-'Rainfall Distribution Coef.'!$B$9)),IF(AND($E158&gt;'Rainfall Distribution Coef.'!$B$10,$E158&lt;'Rainfall Distribution Coef.'!$B$11),'Rainfall Distribution Coef.'!D$10+('Rainfall Distribution Coef.'!D$11-'Rainfall Distribution Coef.'!D$10)*(($E158-'Rainfall Distribution Coef.'!$B$10)/('Rainfall Distribution Coef.'!$B$11-'Rainfall Distribution Coef.'!$B$10)),IF(AND($E158&gt;'Rainfall Distribution Coef.'!$B$11,$E158&lt;'Rainfall Distribution Coef.'!$B$12),'Rainfall Distribution Coef.'!D$11+('Rainfall Distribution Coef.'!D$12-'Rainfall Distribution Coef.'!D$11)*(($E158-'Rainfall Distribution Coef.'!$B$11)/('Rainfall Distribution Coef.'!$B$12-'Rainfall Distribution Coef.'!$B$11)),IF(AND($E158&gt;'Rainfall Distribution Coef.'!$B$12,$E158&lt;'Rainfall Distribution Coef.'!$B$13),'Rainfall Distribution Coef.'!D$12+('Rainfall Distribution Coef.'!D$13-'Rainfall Distribution Coef.'!D$12)*(($E158-'Rainfall Distribution Coef.'!$B$12)/('Rainfall Distribution Coef.'!$B$13-'Rainfall Distribution Coef.'!$B$12)),0))))))))+IF(AND($E158&gt;'Rainfall Distribution Coef.'!$B$13,$E158&lt;'Rainfall Distribution Coef.'!$B$14),'Rainfall Distribution Coef.'!D$13+('Rainfall Distribution Coef.'!D$14-'Rainfall Distribution Coef.'!D$13)*(($E158-'Rainfall Distribution Coef.'!$B$13)/('Rainfall Distribution Coef.'!$B$14-'Rainfall Distribution Coef.'!$B$13)),IF($E158='Rainfall Distribution Coef.'!$B$14,'Rainfall Distribution Coef.'!D$14,0))</f>
        <v>-0.51066323048094509</v>
      </c>
      <c r="M158" s="94">
        <f>(IF('Rainfall Distribution Coef.'!$B$7&gt;$E158,'Rainfall Distribution Coef.'!E$7,IF(AND($E158&gt;'Rainfall Distribution Coef.'!$B$7,$E158&lt;'Rainfall Distribution Coef.'!$B$8),'Rainfall Distribution Coef.'!E$7+('Rainfall Distribution Coef.'!E$8-'Rainfall Distribution Coef.'!E$7)*(($E158-'Rainfall Distribution Coef.'!$B$7)/('Rainfall Distribution Coef.'!$B$8-'Rainfall Distribution Coef.'!$B$7)),IF(AND($E158&gt;'Rainfall Distribution Coef.'!$B$8,$E158&lt;'Rainfall Distribution Coef.'!$B$9),'Rainfall Distribution Coef.'!E$8+('Rainfall Distribution Coef.'!E$9-'Rainfall Distribution Coef.'!E$8)*(($E158-'Rainfall Distribution Coef.'!$B$8)/('Rainfall Distribution Coef.'!$B$9-'Rainfall Distribution Coef.'!$B$8)),IF(AND($E158&gt;'Rainfall Distribution Coef.'!$B$9,$E158&lt;'Rainfall Distribution Coef.'!$B$10),'Rainfall Distribution Coef.'!E$9+('Rainfall Distribution Coef.'!E$10-'Rainfall Distribution Coef.'!E$9)*(($E158-'Rainfall Distribution Coef.'!$B$9)/('Rainfall Distribution Coef.'!$B$10-'Rainfall Distribution Coef.'!$B$9)),IF(AND($E158&gt;'Rainfall Distribution Coef.'!$B$10,$E158&lt;'Rainfall Distribution Coef.'!$B$11),'Rainfall Distribution Coef.'!E$10+('Rainfall Distribution Coef.'!E$11-'Rainfall Distribution Coef.'!E$10)*(($E158-'Rainfall Distribution Coef.'!$B$10)/('Rainfall Distribution Coef.'!$B$11-'Rainfall Distribution Coef.'!$B$10)),IF(AND($E158&gt;'Rainfall Distribution Coef.'!$B$11,$E158&lt;'Rainfall Distribution Coef.'!$B$12),'Rainfall Distribution Coef.'!E$11+('Rainfall Distribution Coef.'!E$12-'Rainfall Distribution Coef.'!E$11)*(($E158-'Rainfall Distribution Coef.'!$B$11)/('Rainfall Distribution Coef.'!$B$12-'Rainfall Distribution Coef.'!$B$11)),IF(AND($E158&gt;'Rainfall Distribution Coef.'!$B$12,$E158&lt;'Rainfall Distribution Coef.'!$B$13),'Rainfall Distribution Coef.'!E$12+('Rainfall Distribution Coef.'!E$13-'Rainfall Distribution Coef.'!E$12)*(($E158-'Rainfall Distribution Coef.'!$B$12)/('Rainfall Distribution Coef.'!$B$13-'Rainfall Distribution Coef.'!$B$12)),0))))))))+IF(AND($E158&gt;'Rainfall Distribution Coef.'!$B$13,$E158&lt;'Rainfall Distribution Coef.'!$B$14),'Rainfall Distribution Coef.'!E$13+('Rainfall Distribution Coef.'!E$14-'Rainfall Distribution Coef.'!E$13)*(($E158-'Rainfall Distribution Coef.'!$B$13)/('Rainfall Distribution Coef.'!$B$14-'Rainfall Distribution Coef.'!$B$13)),IF($E158='Rainfall Distribution Coef.'!$B$14,'Rainfall Distribution Coef.'!E$14,0))</f>
        <v>-0.10768126985292317</v>
      </c>
      <c r="N158" s="94">
        <f>(IF('Rainfall Distribution Coef.'!$B$16&gt;$E158,'Rainfall Distribution Coef.'!C$16,IF(AND($E158&gt;'Rainfall Distribution Coef.'!$B$16,$E158&lt;'Rainfall Distribution Coef.'!$B$17),'Rainfall Distribution Coef.'!C$16+('Rainfall Distribution Coef.'!C$17-'Rainfall Distribution Coef.'!C$16)*(($E158-'Rainfall Distribution Coef.'!$B$16)/('Rainfall Distribution Coef.'!$B$17-'Rainfall Distribution Coef.'!$B$16)),IF(AND($E158&gt;'Rainfall Distribution Coef.'!$B$17,$E158&lt;'Rainfall Distribution Coef.'!$B$18),'Rainfall Distribution Coef.'!C$17+('Rainfall Distribution Coef.'!C$18-'Rainfall Distribution Coef.'!C$17)*(($E158-'Rainfall Distribution Coef.'!$B$17)/('Rainfall Distribution Coef.'!$B$18-'Rainfall Distribution Coef.'!$B$17)),IF(AND($E158&gt;'Rainfall Distribution Coef.'!$B$18,$E158&lt;'Rainfall Distribution Coef.'!$B$19),'Rainfall Distribution Coef.'!C$18+('Rainfall Distribution Coef.'!C$19-'Rainfall Distribution Coef.'!C$18)*(($E158-'Rainfall Distribution Coef.'!$B$18)/('Rainfall Distribution Coef.'!$B$19-'Rainfall Distribution Coef.'!$B$18)),IF(AND($E158&gt;'Rainfall Distribution Coef.'!$B$19,$E158&lt;'Rainfall Distribution Coef.'!$B$20),'Rainfall Distribution Coef.'!C$19+('Rainfall Distribution Coef.'!C$20-'Rainfall Distribution Coef.'!C$19)*(($E158-'Rainfall Distribution Coef.'!$B$19)/('Rainfall Distribution Coef.'!$B$20-'Rainfall Distribution Coef.'!$B$19)),IF($E158='Rainfall Distribution Coef.'!$B$20,'Rainfall Distribution Coef.'!C$20,0)))))))</f>
        <v>1.9932668464311063</v>
      </c>
      <c r="O158" s="94">
        <f>(IF('Rainfall Distribution Coef.'!$B$16&gt;$E158,'Rainfall Distribution Coef.'!D$16,IF(AND($E158&gt;'Rainfall Distribution Coef.'!$B$16,$E158&lt;'Rainfall Distribution Coef.'!$B$17),'Rainfall Distribution Coef.'!D$16+('Rainfall Distribution Coef.'!D$17-'Rainfall Distribution Coef.'!D$16)*(($E158-'Rainfall Distribution Coef.'!$B$16)/('Rainfall Distribution Coef.'!$B$17-'Rainfall Distribution Coef.'!$B$16)),IF(AND($E158&gt;'Rainfall Distribution Coef.'!$B$17,$E158&lt;'Rainfall Distribution Coef.'!$B$18),'Rainfall Distribution Coef.'!D$17+('Rainfall Distribution Coef.'!D$18-'Rainfall Distribution Coef.'!D$17)*(($E158-'Rainfall Distribution Coef.'!$B$17)/('Rainfall Distribution Coef.'!$B$18-'Rainfall Distribution Coef.'!$B$17)),IF(AND($E158&gt;'Rainfall Distribution Coef.'!$B$18,$E158&lt;'Rainfall Distribution Coef.'!$B$19),'Rainfall Distribution Coef.'!D$18+('Rainfall Distribution Coef.'!D$19-'Rainfall Distribution Coef.'!D$18)*(($E158-'Rainfall Distribution Coef.'!$B$18)/('Rainfall Distribution Coef.'!$B$19-'Rainfall Distribution Coef.'!$B$18)),IF(AND($E158&gt;'Rainfall Distribution Coef.'!$B$19,$E158&lt;'Rainfall Distribution Coef.'!$B$20),'Rainfall Distribution Coef.'!D$19+('Rainfall Distribution Coef.'!D$20-'Rainfall Distribution Coef.'!D$19)*(($E158-'Rainfall Distribution Coef.'!$B$19)/('Rainfall Distribution Coef.'!$B$20-'Rainfall Distribution Coef.'!$B$19)),IF($E158='Rainfall Distribution Coef.'!$B$20,'Rainfall Distribution Coef.'!D$20,0)))))))</f>
        <v>-0.3041073898846669</v>
      </c>
      <c r="P158" s="94">
        <f>(IF('Rainfall Distribution Coef.'!$B$16&gt;$E158,'Rainfall Distribution Coef.'!E$16,IF(AND($E158&gt;'Rainfall Distribution Coef.'!$B$16,$E158&lt;'Rainfall Distribution Coef.'!$B$17),'Rainfall Distribution Coef.'!E$16+('Rainfall Distribution Coef.'!E$17-'Rainfall Distribution Coef.'!E$16)*(($E158-'Rainfall Distribution Coef.'!$B$16)/('Rainfall Distribution Coef.'!$B$17-'Rainfall Distribution Coef.'!$B$16)),IF(AND($E158&gt;'Rainfall Distribution Coef.'!$B$17,$E158&lt;'Rainfall Distribution Coef.'!$B$18),'Rainfall Distribution Coef.'!E$17+('Rainfall Distribution Coef.'!E$18-'Rainfall Distribution Coef.'!E$17)*(($E158-'Rainfall Distribution Coef.'!$B$17)/('Rainfall Distribution Coef.'!$B$18-'Rainfall Distribution Coef.'!$B$17)),IF(AND($E158&gt;'Rainfall Distribution Coef.'!$B$18,$E158&lt;'Rainfall Distribution Coef.'!$B$19),'Rainfall Distribution Coef.'!E$18+('Rainfall Distribution Coef.'!E$19-'Rainfall Distribution Coef.'!E$18)*(($E158-'Rainfall Distribution Coef.'!$B$18)/('Rainfall Distribution Coef.'!$B$19-'Rainfall Distribution Coef.'!$B$18)),IF(AND($E158&gt;'Rainfall Distribution Coef.'!$B$19,$E158&lt;'Rainfall Distribution Coef.'!$B$20),'Rainfall Distribution Coef.'!E$19+('Rainfall Distribution Coef.'!E$20-'Rainfall Distribution Coef.'!E$19)*(($E158-'Rainfall Distribution Coef.'!$B$19)/('Rainfall Distribution Coef.'!$B$20-'Rainfall Distribution Coef.'!$B$19)),IF($E158='Rainfall Distribution Coef.'!$B$20,'Rainfall Distribution Coef.'!E$20,0)))))))</f>
        <v>-0.11406262444894263</v>
      </c>
      <c r="Q158" s="95">
        <f>(IF('Rainfall Distribution Coef.'!$B$22&gt;$E158,'Rainfall Distribution Coef.'!C$22,IF(AND($E158&gt;'Rainfall Distribution Coef.'!$B$22,$E158&lt;'Rainfall Distribution Coef.'!$B$23),'Rainfall Distribution Coef.'!C$22+('Rainfall Distribution Coef.'!C$23-'Rainfall Distribution Coef.'!C$22)*(($E158-'Rainfall Distribution Coef.'!$B$22)/('Rainfall Distribution Coef.'!$B$23-'Rainfall Distribution Coef.'!$B$22)),IF(AND($E158&gt;'Rainfall Distribution Coef.'!$B$23,$E158&lt;'Rainfall Distribution Coef.'!$B$24),'Rainfall Distribution Coef.'!C$23+('Rainfall Distribution Coef.'!C$24-'Rainfall Distribution Coef.'!C$23)*(($E158-'Rainfall Distribution Coef.'!$B$23)/('Rainfall Distribution Coef.'!$B$24-'Rainfall Distribution Coef.'!$B$23)),IF(AND($E158&gt;'Rainfall Distribution Coef.'!$B$24,$E158&lt;'Rainfall Distribution Coef.'!$B$25),'Rainfall Distribution Coef.'!C$24+('Rainfall Distribution Coef.'!C$25-'Rainfall Distribution Coef.'!C$24)*(($E158-'Rainfall Distribution Coef.'!$B$24)/('Rainfall Distribution Coef.'!$B$25-'Rainfall Distribution Coef.'!$B$24)),IF(AND($E158&gt;'Rainfall Distribution Coef.'!$B$25,$E158&lt;'Rainfall Distribution Coef.'!$B$26),'Rainfall Distribution Coef.'!C$25+('Rainfall Distribution Coef.'!C$26-'Rainfall Distribution Coef.'!C$25)*(($E158-'Rainfall Distribution Coef.'!$B$25)/('Rainfall Distribution Coef.'!$B$26-'Rainfall Distribution Coef.'!$B$25)),IF(AND($E158&gt;'Rainfall Distribution Coef.'!$B$26,$E158&lt;'Rainfall Distribution Coef.'!$B$27),'Rainfall Distribution Coef.'!C$26+('Rainfall Distribution Coef.'!C$27-'Rainfall Distribution Coef.'!C$26)*(($E158-'Rainfall Distribution Coef.'!$B$26)/('Rainfall Distribution Coef.'!$B$27-'Rainfall Distribution Coef.'!$B$26)), IF($E158='Rainfall Distribution Coef.'!$B$27,'Rainfall Distribution Coef.'!C$27,0))))))))</f>
        <v>2.5379310888474031</v>
      </c>
      <c r="R158" s="95">
        <f>(IF('Rainfall Distribution Coef.'!$B$22&gt;$E158,'Rainfall Distribution Coef.'!D$22,IF(AND($E158&gt;'Rainfall Distribution Coef.'!$B$22,$E158&lt;'Rainfall Distribution Coef.'!$B$23),'Rainfall Distribution Coef.'!D$22+('Rainfall Distribution Coef.'!D$23-'Rainfall Distribution Coef.'!D$22)*(($E158-'Rainfall Distribution Coef.'!$B$22)/('Rainfall Distribution Coef.'!$B$23-'Rainfall Distribution Coef.'!$B$22)),IF(AND($E158&gt;'Rainfall Distribution Coef.'!$B$23,$E158&lt;'Rainfall Distribution Coef.'!$B$24),'Rainfall Distribution Coef.'!D$23+('Rainfall Distribution Coef.'!D$24-'Rainfall Distribution Coef.'!D$23)*(($E158-'Rainfall Distribution Coef.'!$B$23)/('Rainfall Distribution Coef.'!$B$24-'Rainfall Distribution Coef.'!$B$23)),IF(AND($E158&gt;'Rainfall Distribution Coef.'!$B$24,$E158&lt;'Rainfall Distribution Coef.'!$B$25),'Rainfall Distribution Coef.'!D$24+('Rainfall Distribution Coef.'!D$25-'Rainfall Distribution Coef.'!D$24)*(($E158-'Rainfall Distribution Coef.'!$B$24)/('Rainfall Distribution Coef.'!$B$25-'Rainfall Distribution Coef.'!$B$24)),IF(AND($E158&gt;'Rainfall Distribution Coef.'!$B$25,$E158&lt;'Rainfall Distribution Coef.'!$B$26),'Rainfall Distribution Coef.'!D$25+('Rainfall Distribution Coef.'!D$26-'Rainfall Distribution Coef.'!D$25)*(($E158-'Rainfall Distribution Coef.'!$B$25)/('Rainfall Distribution Coef.'!$B$26-'Rainfall Distribution Coef.'!$B$25)),IF(AND($E158&gt;'Rainfall Distribution Coef.'!$B$26,$E158&lt;'Rainfall Distribution Coef.'!$B$27),'Rainfall Distribution Coef.'!D$26+('Rainfall Distribution Coef.'!D$27-'Rainfall Distribution Coef.'!D$26)*(($E158-'Rainfall Distribution Coef.'!$B$26)/('Rainfall Distribution Coef.'!$B$27-'Rainfall Distribution Coef.'!$B$26)), IF($E158='Rainfall Distribution Coef.'!$B$27,'Rainfall Distribution Coef.'!D$27,0))))))))</f>
        <v>-0.61641651789428786</v>
      </c>
      <c r="S158" s="95">
        <f>(IF('Rainfall Distribution Coef.'!$B$22&gt;$E158,'Rainfall Distribution Coef.'!E$22,IF(AND($E158&gt;'Rainfall Distribution Coef.'!$B$22,$E158&lt;'Rainfall Distribution Coef.'!$B$23),'Rainfall Distribution Coef.'!E$22+('Rainfall Distribution Coef.'!E$23-'Rainfall Distribution Coef.'!E$22)*(($E158-'Rainfall Distribution Coef.'!$B$22)/('Rainfall Distribution Coef.'!$B$23-'Rainfall Distribution Coef.'!$B$22)),IF(AND($E158&gt;'Rainfall Distribution Coef.'!$B$23,$E158&lt;'Rainfall Distribution Coef.'!$B$24),'Rainfall Distribution Coef.'!E$23+('Rainfall Distribution Coef.'!E$24-'Rainfall Distribution Coef.'!E$23)*(($E158-'Rainfall Distribution Coef.'!$B$23)/('Rainfall Distribution Coef.'!$B$24-'Rainfall Distribution Coef.'!$B$23)),IF(AND($E158&gt;'Rainfall Distribution Coef.'!$B$24,$E158&lt;'Rainfall Distribution Coef.'!$B$25),'Rainfall Distribution Coef.'!E$24+('Rainfall Distribution Coef.'!E$25-'Rainfall Distribution Coef.'!E$24)*(($E158-'Rainfall Distribution Coef.'!$B$24)/('Rainfall Distribution Coef.'!$B$25-'Rainfall Distribution Coef.'!$B$24)),IF(AND($E158&gt;'Rainfall Distribution Coef.'!$B$25,$E158&lt;'Rainfall Distribution Coef.'!$B$26),'Rainfall Distribution Coef.'!E$25+('Rainfall Distribution Coef.'!E$26-'Rainfall Distribution Coef.'!E$25)*(($E158-'Rainfall Distribution Coef.'!$B$25)/('Rainfall Distribution Coef.'!$B$26-'Rainfall Distribution Coef.'!$B$25)),IF(AND($E158&gt;'Rainfall Distribution Coef.'!$B$26,$E158&lt;'Rainfall Distribution Coef.'!$B$27),'Rainfall Distribution Coef.'!E$26+('Rainfall Distribution Coef.'!E$27-'Rainfall Distribution Coef.'!E$26)*(($E158-'Rainfall Distribution Coef.'!$B$26)/('Rainfall Distribution Coef.'!$B$27-'Rainfall Distribution Coef.'!$B$26)), IF($E158='Rainfall Distribution Coef.'!$B$27,'Rainfall Distribution Coef.'!E$27,0))))))))</f>
        <v>-0.15577057191101976</v>
      </c>
      <c r="T158" s="95">
        <f>(IF('Rainfall Distribution Coef.'!$B$29&gt;$E158,'Rainfall Distribution Coef.'!C$29,IF(AND($E158&gt;'Rainfall Distribution Coef.'!$B$29,$E158&lt;'Rainfall Distribution Coef.'!$B$30),'Rainfall Distribution Coef.'!C$29+('Rainfall Distribution Coef.'!C$30-'Rainfall Distribution Coef.'!C$29)*(($E158-'Rainfall Distribution Coef.'!$B$29)/('Rainfall Distribution Coef.'!$B$30-'Rainfall Distribution Coef.'!$B$29)),IF(AND($E158&gt;'Rainfall Distribution Coef.'!$B$30,$E158&lt;'Rainfall Distribution Coef.'!$B$31),'Rainfall Distribution Coef.'!C$30+('Rainfall Distribution Coef.'!C$31-'Rainfall Distribution Coef.'!C$30)*(($E158-'Rainfall Distribution Coef.'!$B$30)/('Rainfall Distribution Coef.'!$B$31-'Rainfall Distribution Coef.'!$B$30)),IF(AND($E158&gt;'Rainfall Distribution Coef.'!$B$31,$E158&lt;'Rainfall Distribution Coef.'!$B$32),'Rainfall Distribution Coef.'!C$31+('Rainfall Distribution Coef.'!C$32-'Rainfall Distribution Coef.'!C$31)*(($E158-'Rainfall Distribution Coef.'!$B$31)/('Rainfall Distribution Coef.'!$B$32-'Rainfall Distribution Coef.'!$B$31)),IF(AND($E158&gt;'Rainfall Distribution Coef.'!$B$32,$E158&lt;'Rainfall Distribution Coef.'!$B$33),'Rainfall Distribution Coef.'!C$32+('Rainfall Distribution Coef.'!C$33-'Rainfall Distribution Coef.'!C$32)*(($E158-'Rainfall Distribution Coef.'!$B$32)/('Rainfall Distribution Coef.'!$B$33-'Rainfall Distribution Coef.'!$B$32)),IF(AND($E158&gt;'Rainfall Distribution Coef.'!$B$33,$E158&lt;'Rainfall Distribution Coef.'!$B$34),'Rainfall Distribution Coef.'!C$33+('Rainfall Distribution Coef.'!C$34-'Rainfall Distribution Coef.'!C$33)*(($E158-'Rainfall Distribution Coef.'!$B$33)/('Rainfall Distribution Coef.'!$B$34-'Rainfall Distribution Coef.'!$B$33)), IF($E158='Rainfall Distribution Coef.'!$B$34,'Rainfall Distribution Coef.'!C$34,0))))))))</f>
        <v>2.4597888911554637</v>
      </c>
      <c r="U158" s="95">
        <f>(IF('Rainfall Distribution Coef.'!$B$29&gt;$E158,'Rainfall Distribution Coef.'!D$29,IF(AND($E158&gt;'Rainfall Distribution Coef.'!$B$29,$E158&lt;'Rainfall Distribution Coef.'!$B$30),'Rainfall Distribution Coef.'!D$29+('Rainfall Distribution Coef.'!D$30-'Rainfall Distribution Coef.'!D$29)*(($E158-'Rainfall Distribution Coef.'!$B$29)/('Rainfall Distribution Coef.'!$B$30-'Rainfall Distribution Coef.'!$B$29)),IF(AND($E158&gt;'Rainfall Distribution Coef.'!$B$30,$E158&lt;'Rainfall Distribution Coef.'!$B$31),'Rainfall Distribution Coef.'!D$30+('Rainfall Distribution Coef.'!D$31-'Rainfall Distribution Coef.'!D$30)*(($E158-'Rainfall Distribution Coef.'!$B$30)/('Rainfall Distribution Coef.'!$B$31-'Rainfall Distribution Coef.'!$B$30)),IF(AND($E158&gt;'Rainfall Distribution Coef.'!$B$31,$E158&lt;'Rainfall Distribution Coef.'!$B$32),'Rainfall Distribution Coef.'!D$31+('Rainfall Distribution Coef.'!D$32-'Rainfall Distribution Coef.'!D$31)*(($E158-'Rainfall Distribution Coef.'!$B$31)/('Rainfall Distribution Coef.'!$B$32-'Rainfall Distribution Coef.'!$B$31)),IF(AND($E158&gt;'Rainfall Distribution Coef.'!$B$32,$E158&lt;'Rainfall Distribution Coef.'!$B$33),'Rainfall Distribution Coef.'!D$32+('Rainfall Distribution Coef.'!D$33-'Rainfall Distribution Coef.'!D$32)*(($E158-'Rainfall Distribution Coef.'!$B$32)/('Rainfall Distribution Coef.'!$B$33-'Rainfall Distribution Coef.'!$B$32)),IF(AND($E158&gt;'Rainfall Distribution Coef.'!$B$33,$E158&lt;'Rainfall Distribution Coef.'!$B$34),'Rainfall Distribution Coef.'!D$33+('Rainfall Distribution Coef.'!D$34-'Rainfall Distribution Coef.'!D$33)*(($E158-'Rainfall Distribution Coef.'!$B$33)/('Rainfall Distribution Coef.'!$B$34-'Rainfall Distribution Coef.'!$B$33)), IF($E158='Rainfall Distribution Coef.'!$B$34,'Rainfall Distribution Coef.'!D$34,0))))))))</f>
        <v>-0.517355771060792</v>
      </c>
      <c r="V158" s="95">
        <f>(IF('Rainfall Distribution Coef.'!$B$29&gt;$E158,'Rainfall Distribution Coef.'!E$29,IF(AND($E158&gt;'Rainfall Distribution Coef.'!$B$29,$E158&lt;'Rainfall Distribution Coef.'!$B$30),'Rainfall Distribution Coef.'!E$29+('Rainfall Distribution Coef.'!E$30-'Rainfall Distribution Coef.'!E$29)*(($E158-'Rainfall Distribution Coef.'!$B$29)/('Rainfall Distribution Coef.'!$B$30-'Rainfall Distribution Coef.'!$B$29)),IF(AND($E158&gt;'Rainfall Distribution Coef.'!$B$30,$E158&lt;'Rainfall Distribution Coef.'!$B$31),'Rainfall Distribution Coef.'!E$30+('Rainfall Distribution Coef.'!E$31-'Rainfall Distribution Coef.'!E$30)*(($E158-'Rainfall Distribution Coef.'!$B$30)/('Rainfall Distribution Coef.'!$B$31-'Rainfall Distribution Coef.'!$B$30)),IF(AND($E158&gt;'Rainfall Distribution Coef.'!$B$31,$E158&lt;'Rainfall Distribution Coef.'!$B$32),'Rainfall Distribution Coef.'!E$31+('Rainfall Distribution Coef.'!E$32-'Rainfall Distribution Coef.'!E$31)*(($E158-'Rainfall Distribution Coef.'!$B$31)/('Rainfall Distribution Coef.'!$B$32-'Rainfall Distribution Coef.'!$B$31)),IF(AND($E158&gt;'Rainfall Distribution Coef.'!$B$32,$E158&lt;'Rainfall Distribution Coef.'!$B$33),'Rainfall Distribution Coef.'!E$32+('Rainfall Distribution Coef.'!E$33-'Rainfall Distribution Coef.'!E$32)*(($E158-'Rainfall Distribution Coef.'!$B$32)/('Rainfall Distribution Coef.'!$B$33-'Rainfall Distribution Coef.'!$B$32)),IF(AND($E158&gt;'Rainfall Distribution Coef.'!$B$33,$E158&lt;'Rainfall Distribution Coef.'!$B$34),'Rainfall Distribution Coef.'!E$33+('Rainfall Distribution Coef.'!E$34-'Rainfall Distribution Coef.'!E$33)*(($E158-'Rainfall Distribution Coef.'!$B$33)/('Rainfall Distribution Coef.'!$B$34-'Rainfall Distribution Coef.'!$B$33)), IF($E158='Rainfall Distribution Coef.'!$B$34,'Rainfall Distribution Coef.'!E$34,0))))))))</f>
        <v>-0.16415075747882299</v>
      </c>
    </row>
    <row r="159" spans="1:22" ht="12.75" x14ac:dyDescent="0.2">
      <c r="A159" s="92"/>
      <c r="B159" s="90">
        <v>25</v>
      </c>
      <c r="C159" s="86">
        <f>F128</f>
        <v>6.4</v>
      </c>
      <c r="D159" s="86">
        <f>$E$136</f>
        <v>0.71447100240874561</v>
      </c>
      <c r="E159" s="86">
        <f>IF(D159/C159&gt;0.5,0.5,D159/C159)</f>
        <v>0.11163609412636649</v>
      </c>
      <c r="F159" s="91">
        <f>IF($A$63='Rainfall Distribution Coef.'!$K$2,10^(K159+(L159*LOG($E$119))+(M159*(LOG($E$119))^2)),IF($A$63='Rainfall Distribution Coef.'!$K$3,10^(N159+(O159*LOG($E$119))+(P159*(LOG($E$119))^2)),IF($A$63='Rainfall Distribution Coef.'!$K$4,10^(Q159+(R159*LOG($E$119))+(S159*(LOG($E$119))^2)),IF($A$63='Rainfall Distribution Coef.'!$K$5,10^(T159+(U159*LOG($E$119))+(V159*(LOG($E$119))^2)),"UPDATE"))))</f>
        <v>398.97743251213581</v>
      </c>
      <c r="G159" s="75" t="s">
        <v>89</v>
      </c>
      <c r="H159" s="82"/>
      <c r="K159" s="94">
        <f>(IF('Rainfall Distribution Coef.'!$B$7&gt;$E159,'Rainfall Distribution Coef.'!C$7,IF(AND($E159&gt;'Rainfall Distribution Coef.'!$B$7,$E159&lt;'Rainfall Distribution Coef.'!$B$8),'Rainfall Distribution Coef.'!C$7+('Rainfall Distribution Coef.'!C$8-'Rainfall Distribution Coef.'!C$7)*(($E159-'Rainfall Distribution Coef.'!$B$7)/('Rainfall Distribution Coef.'!$B$8-'Rainfall Distribution Coef.'!$B$7)),IF(AND($E159&gt;'Rainfall Distribution Coef.'!$B$8,$E159&lt;'Rainfall Distribution Coef.'!$B$9),'Rainfall Distribution Coef.'!C$8+('Rainfall Distribution Coef.'!C$9-'Rainfall Distribution Coef.'!C$8)*(($E159-'Rainfall Distribution Coef.'!$B$8)/('Rainfall Distribution Coef.'!$B$9-'Rainfall Distribution Coef.'!$B$8)),IF(AND($E159&gt;'Rainfall Distribution Coef.'!$B$9,$E159&lt;'Rainfall Distribution Coef.'!$B$10),'Rainfall Distribution Coef.'!C$9+('Rainfall Distribution Coef.'!C$10-'Rainfall Distribution Coef.'!C$9)*(($E159-'Rainfall Distribution Coef.'!$B$9)/('Rainfall Distribution Coef.'!$B$10-'Rainfall Distribution Coef.'!$B$9)),IF(AND($E159&gt;'Rainfall Distribution Coef.'!$B$10,$E159&lt;'Rainfall Distribution Coef.'!$B$11),'Rainfall Distribution Coef.'!C$10+('Rainfall Distribution Coef.'!C$11-'Rainfall Distribution Coef.'!C$10)*(($E159-'Rainfall Distribution Coef.'!$B$10)/('Rainfall Distribution Coef.'!$B$11-'Rainfall Distribution Coef.'!$B$10)),IF(AND($E159&gt;'Rainfall Distribution Coef.'!$B$11,$E159&lt;'Rainfall Distribution Coef.'!$B$12),'Rainfall Distribution Coef.'!C$11+('Rainfall Distribution Coef.'!C$12-'Rainfall Distribution Coef.'!C$11)*(($E159-'Rainfall Distribution Coef.'!$B$11)/('Rainfall Distribution Coef.'!$B$12-'Rainfall Distribution Coef.'!$B$11)),IF(AND($E159&gt;'Rainfall Distribution Coef.'!$B$12,$E159&lt;'Rainfall Distribution Coef.'!$B$13),'Rainfall Distribution Coef.'!C$12+('Rainfall Distribution Coef.'!C$13-'Rainfall Distribution Coef.'!C$12)*(($E159-'Rainfall Distribution Coef.'!$B$12)/('Rainfall Distribution Coef.'!$B$13-'Rainfall Distribution Coef.'!$B$12)),0))))))))+IF(AND($E159&gt;'Rainfall Distribution Coef.'!$B$13,$E159&lt;'Rainfall Distribution Coef.'!$B$14),'Rainfall Distribution Coef.'!C$13+('Rainfall Distribution Coef.'!C$14-'Rainfall Distribution Coef.'!C$13)*(($E159-'Rainfall Distribution Coef.'!$B$13)/('Rainfall Distribution Coef.'!$B$14-'Rainfall Distribution Coef.'!$B$13)),IF($E159='Rainfall Distribution Coef.'!$B$14,'Rainfall Distribution Coef.'!C$14,0))</f>
        <v>2.297339607189179</v>
      </c>
      <c r="L159" s="94">
        <f>(IF('Rainfall Distribution Coef.'!$B$7&gt;$E159,'Rainfall Distribution Coef.'!D$7,IF(AND($E159&gt;'Rainfall Distribution Coef.'!$B$7,$E159&lt;'Rainfall Distribution Coef.'!$B$8),'Rainfall Distribution Coef.'!D$7+('Rainfall Distribution Coef.'!D$8-'Rainfall Distribution Coef.'!D$7)*(($E159-'Rainfall Distribution Coef.'!$B$7)/('Rainfall Distribution Coef.'!$B$8-'Rainfall Distribution Coef.'!$B$7)),IF(AND($E159&gt;'Rainfall Distribution Coef.'!$B$8,$E159&lt;'Rainfall Distribution Coef.'!$B$9),'Rainfall Distribution Coef.'!D$8+('Rainfall Distribution Coef.'!D$9-'Rainfall Distribution Coef.'!D$8)*(($E159-'Rainfall Distribution Coef.'!$B$8)/('Rainfall Distribution Coef.'!$B$9-'Rainfall Distribution Coef.'!$B$8)),IF(AND($E159&gt;'Rainfall Distribution Coef.'!$B$9,$E159&lt;'Rainfall Distribution Coef.'!$B$10),'Rainfall Distribution Coef.'!D$9+('Rainfall Distribution Coef.'!D$10-'Rainfall Distribution Coef.'!D$9)*(($E159-'Rainfall Distribution Coef.'!$B$9)/('Rainfall Distribution Coef.'!$B$10-'Rainfall Distribution Coef.'!$B$9)),IF(AND($E159&gt;'Rainfall Distribution Coef.'!$B$10,$E159&lt;'Rainfall Distribution Coef.'!$B$11),'Rainfall Distribution Coef.'!D$10+('Rainfall Distribution Coef.'!D$11-'Rainfall Distribution Coef.'!D$10)*(($E159-'Rainfall Distribution Coef.'!$B$10)/('Rainfall Distribution Coef.'!$B$11-'Rainfall Distribution Coef.'!$B$10)),IF(AND($E159&gt;'Rainfall Distribution Coef.'!$B$11,$E159&lt;'Rainfall Distribution Coef.'!$B$12),'Rainfall Distribution Coef.'!D$11+('Rainfall Distribution Coef.'!D$12-'Rainfall Distribution Coef.'!D$11)*(($E159-'Rainfall Distribution Coef.'!$B$11)/('Rainfall Distribution Coef.'!$B$12-'Rainfall Distribution Coef.'!$B$11)),IF(AND($E159&gt;'Rainfall Distribution Coef.'!$B$12,$E159&lt;'Rainfall Distribution Coef.'!$B$13),'Rainfall Distribution Coef.'!D$12+('Rainfall Distribution Coef.'!D$13-'Rainfall Distribution Coef.'!D$12)*(($E159-'Rainfall Distribution Coef.'!$B$12)/('Rainfall Distribution Coef.'!$B$13-'Rainfall Distribution Coef.'!$B$12)),0))))))))+IF(AND($E159&gt;'Rainfall Distribution Coef.'!$B$13,$E159&lt;'Rainfall Distribution Coef.'!$B$14),'Rainfall Distribution Coef.'!D$13+('Rainfall Distribution Coef.'!D$14-'Rainfall Distribution Coef.'!D$13)*(($E159-'Rainfall Distribution Coef.'!$B$13)/('Rainfall Distribution Coef.'!$B$14-'Rainfall Distribution Coef.'!$B$13)),IF($E159='Rainfall Distribution Coef.'!$B$14,'Rainfall Distribution Coef.'!D$14,0))</f>
        <v>-0.51307751899203269</v>
      </c>
      <c r="M159" s="94">
        <f>(IF('Rainfall Distribution Coef.'!$B$7&gt;$E159,'Rainfall Distribution Coef.'!E$7,IF(AND($E159&gt;'Rainfall Distribution Coef.'!$B$7,$E159&lt;'Rainfall Distribution Coef.'!$B$8),'Rainfall Distribution Coef.'!E$7+('Rainfall Distribution Coef.'!E$8-'Rainfall Distribution Coef.'!E$7)*(($E159-'Rainfall Distribution Coef.'!$B$7)/('Rainfall Distribution Coef.'!$B$8-'Rainfall Distribution Coef.'!$B$7)),IF(AND($E159&gt;'Rainfall Distribution Coef.'!$B$8,$E159&lt;'Rainfall Distribution Coef.'!$B$9),'Rainfall Distribution Coef.'!E$8+('Rainfall Distribution Coef.'!E$9-'Rainfall Distribution Coef.'!E$8)*(($E159-'Rainfall Distribution Coef.'!$B$8)/('Rainfall Distribution Coef.'!$B$9-'Rainfall Distribution Coef.'!$B$8)),IF(AND($E159&gt;'Rainfall Distribution Coef.'!$B$9,$E159&lt;'Rainfall Distribution Coef.'!$B$10),'Rainfall Distribution Coef.'!E$9+('Rainfall Distribution Coef.'!E$10-'Rainfall Distribution Coef.'!E$9)*(($E159-'Rainfall Distribution Coef.'!$B$9)/('Rainfall Distribution Coef.'!$B$10-'Rainfall Distribution Coef.'!$B$9)),IF(AND($E159&gt;'Rainfall Distribution Coef.'!$B$10,$E159&lt;'Rainfall Distribution Coef.'!$B$11),'Rainfall Distribution Coef.'!E$10+('Rainfall Distribution Coef.'!E$11-'Rainfall Distribution Coef.'!E$10)*(($E159-'Rainfall Distribution Coef.'!$B$10)/('Rainfall Distribution Coef.'!$B$11-'Rainfall Distribution Coef.'!$B$10)),IF(AND($E159&gt;'Rainfall Distribution Coef.'!$B$11,$E159&lt;'Rainfall Distribution Coef.'!$B$12),'Rainfall Distribution Coef.'!E$11+('Rainfall Distribution Coef.'!E$12-'Rainfall Distribution Coef.'!E$11)*(($E159-'Rainfall Distribution Coef.'!$B$11)/('Rainfall Distribution Coef.'!$B$12-'Rainfall Distribution Coef.'!$B$11)),IF(AND($E159&gt;'Rainfall Distribution Coef.'!$B$12,$E159&lt;'Rainfall Distribution Coef.'!$B$13),'Rainfall Distribution Coef.'!E$12+('Rainfall Distribution Coef.'!E$13-'Rainfall Distribution Coef.'!E$12)*(($E159-'Rainfall Distribution Coef.'!$B$12)/('Rainfall Distribution Coef.'!$B$13-'Rainfall Distribution Coef.'!$B$12)),0))))))))+IF(AND($E159&gt;'Rainfall Distribution Coef.'!$B$13,$E159&lt;'Rainfall Distribution Coef.'!$B$14),'Rainfall Distribution Coef.'!E$13+('Rainfall Distribution Coef.'!E$14-'Rainfall Distribution Coef.'!E$13)*(($E159-'Rainfall Distribution Coef.'!$B$13)/('Rainfall Distribution Coef.'!$B$14-'Rainfall Distribution Coef.'!$B$13)),IF($E159='Rainfall Distribution Coef.'!$B$14,'Rainfall Distribution Coef.'!E$14,0))</f>
        <v>-0.114217457846952</v>
      </c>
      <c r="N159" s="94">
        <f>(IF('Rainfall Distribution Coef.'!$B$16&gt;$E159,'Rainfall Distribution Coef.'!C$16,IF(AND($E159&gt;'Rainfall Distribution Coef.'!$B$16,$E159&lt;'Rainfall Distribution Coef.'!$B$17),'Rainfall Distribution Coef.'!C$16+('Rainfall Distribution Coef.'!C$17-'Rainfall Distribution Coef.'!C$16)*(($E159-'Rainfall Distribution Coef.'!$B$16)/('Rainfall Distribution Coef.'!$B$17-'Rainfall Distribution Coef.'!$B$16)),IF(AND($E159&gt;'Rainfall Distribution Coef.'!$B$17,$E159&lt;'Rainfall Distribution Coef.'!$B$18),'Rainfall Distribution Coef.'!C$17+('Rainfall Distribution Coef.'!C$18-'Rainfall Distribution Coef.'!C$17)*(($E159-'Rainfall Distribution Coef.'!$B$17)/('Rainfall Distribution Coef.'!$B$18-'Rainfall Distribution Coef.'!$B$17)),IF(AND($E159&gt;'Rainfall Distribution Coef.'!$B$18,$E159&lt;'Rainfall Distribution Coef.'!$B$19),'Rainfall Distribution Coef.'!C$18+('Rainfall Distribution Coef.'!C$19-'Rainfall Distribution Coef.'!C$18)*(($E159-'Rainfall Distribution Coef.'!$B$18)/('Rainfall Distribution Coef.'!$B$19-'Rainfall Distribution Coef.'!$B$18)),IF(AND($E159&gt;'Rainfall Distribution Coef.'!$B$19,$E159&lt;'Rainfall Distribution Coef.'!$B$20),'Rainfall Distribution Coef.'!C$19+('Rainfall Distribution Coef.'!C$20-'Rainfall Distribution Coef.'!C$19)*(($E159-'Rainfall Distribution Coef.'!$B$19)/('Rainfall Distribution Coef.'!$B$20-'Rainfall Distribution Coef.'!$B$19)),IF($E159='Rainfall Distribution Coef.'!$B$20,'Rainfall Distribution Coef.'!C$20,0)))))))</f>
        <v>2.0193837947007598</v>
      </c>
      <c r="O159" s="94">
        <f>(IF('Rainfall Distribution Coef.'!$B$16&gt;$E159,'Rainfall Distribution Coef.'!D$16,IF(AND($E159&gt;'Rainfall Distribution Coef.'!$B$16,$E159&lt;'Rainfall Distribution Coef.'!$B$17),'Rainfall Distribution Coef.'!D$16+('Rainfall Distribution Coef.'!D$17-'Rainfall Distribution Coef.'!D$16)*(($E159-'Rainfall Distribution Coef.'!$B$16)/('Rainfall Distribution Coef.'!$B$17-'Rainfall Distribution Coef.'!$B$16)),IF(AND($E159&gt;'Rainfall Distribution Coef.'!$B$17,$E159&lt;'Rainfall Distribution Coef.'!$B$18),'Rainfall Distribution Coef.'!D$17+('Rainfall Distribution Coef.'!D$18-'Rainfall Distribution Coef.'!D$17)*(($E159-'Rainfall Distribution Coef.'!$B$17)/('Rainfall Distribution Coef.'!$B$18-'Rainfall Distribution Coef.'!$B$17)),IF(AND($E159&gt;'Rainfall Distribution Coef.'!$B$18,$E159&lt;'Rainfall Distribution Coef.'!$B$19),'Rainfall Distribution Coef.'!D$18+('Rainfall Distribution Coef.'!D$19-'Rainfall Distribution Coef.'!D$18)*(($E159-'Rainfall Distribution Coef.'!$B$18)/('Rainfall Distribution Coef.'!$B$19-'Rainfall Distribution Coef.'!$B$18)),IF(AND($E159&gt;'Rainfall Distribution Coef.'!$B$19,$E159&lt;'Rainfall Distribution Coef.'!$B$20),'Rainfall Distribution Coef.'!D$19+('Rainfall Distribution Coef.'!D$20-'Rainfall Distribution Coef.'!D$19)*(($E159-'Rainfall Distribution Coef.'!$B$19)/('Rainfall Distribution Coef.'!$B$20-'Rainfall Distribution Coef.'!$B$19)),IF($E159='Rainfall Distribution Coef.'!$B$20,'Rainfall Distribution Coef.'!D$20,0)))))))</f>
        <v>-0.31191096349823977</v>
      </c>
      <c r="P159" s="94">
        <f>(IF('Rainfall Distribution Coef.'!$B$16&gt;$E159,'Rainfall Distribution Coef.'!E$16,IF(AND($E159&gt;'Rainfall Distribution Coef.'!$B$16,$E159&lt;'Rainfall Distribution Coef.'!$B$17),'Rainfall Distribution Coef.'!E$16+('Rainfall Distribution Coef.'!E$17-'Rainfall Distribution Coef.'!E$16)*(($E159-'Rainfall Distribution Coef.'!$B$16)/('Rainfall Distribution Coef.'!$B$17-'Rainfall Distribution Coef.'!$B$16)),IF(AND($E159&gt;'Rainfall Distribution Coef.'!$B$17,$E159&lt;'Rainfall Distribution Coef.'!$B$18),'Rainfall Distribution Coef.'!E$17+('Rainfall Distribution Coef.'!E$18-'Rainfall Distribution Coef.'!E$17)*(($E159-'Rainfall Distribution Coef.'!$B$17)/('Rainfall Distribution Coef.'!$B$18-'Rainfall Distribution Coef.'!$B$17)),IF(AND($E159&gt;'Rainfall Distribution Coef.'!$B$18,$E159&lt;'Rainfall Distribution Coef.'!$B$19),'Rainfall Distribution Coef.'!E$18+('Rainfall Distribution Coef.'!E$19-'Rainfall Distribution Coef.'!E$18)*(($E159-'Rainfall Distribution Coef.'!$B$18)/('Rainfall Distribution Coef.'!$B$19-'Rainfall Distribution Coef.'!$B$18)),IF(AND($E159&gt;'Rainfall Distribution Coef.'!$B$19,$E159&lt;'Rainfall Distribution Coef.'!$B$20),'Rainfall Distribution Coef.'!E$19+('Rainfall Distribution Coef.'!E$20-'Rainfall Distribution Coef.'!E$19)*(($E159-'Rainfall Distribution Coef.'!$B$19)/('Rainfall Distribution Coef.'!$B$20-'Rainfall Distribution Coef.'!$B$19)),IF($E159='Rainfall Distribution Coef.'!$B$20,'Rainfall Distribution Coef.'!E$20,0)))))))</f>
        <v>-0.12965123587178062</v>
      </c>
      <c r="Q159" s="95">
        <f>(IF('Rainfall Distribution Coef.'!$B$22&gt;$E159,'Rainfall Distribution Coef.'!C$22,IF(AND($E159&gt;'Rainfall Distribution Coef.'!$B$22,$E159&lt;'Rainfall Distribution Coef.'!$B$23),'Rainfall Distribution Coef.'!C$22+('Rainfall Distribution Coef.'!C$23-'Rainfall Distribution Coef.'!C$22)*(($E159-'Rainfall Distribution Coef.'!$B$22)/('Rainfall Distribution Coef.'!$B$23-'Rainfall Distribution Coef.'!$B$22)),IF(AND($E159&gt;'Rainfall Distribution Coef.'!$B$23,$E159&lt;'Rainfall Distribution Coef.'!$B$24),'Rainfall Distribution Coef.'!C$23+('Rainfall Distribution Coef.'!C$24-'Rainfall Distribution Coef.'!C$23)*(($E159-'Rainfall Distribution Coef.'!$B$23)/('Rainfall Distribution Coef.'!$B$24-'Rainfall Distribution Coef.'!$B$23)),IF(AND($E159&gt;'Rainfall Distribution Coef.'!$B$24,$E159&lt;'Rainfall Distribution Coef.'!$B$25),'Rainfall Distribution Coef.'!C$24+('Rainfall Distribution Coef.'!C$25-'Rainfall Distribution Coef.'!C$24)*(($E159-'Rainfall Distribution Coef.'!$B$24)/('Rainfall Distribution Coef.'!$B$25-'Rainfall Distribution Coef.'!$B$24)),IF(AND($E159&gt;'Rainfall Distribution Coef.'!$B$25,$E159&lt;'Rainfall Distribution Coef.'!$B$26),'Rainfall Distribution Coef.'!C$25+('Rainfall Distribution Coef.'!C$26-'Rainfall Distribution Coef.'!C$25)*(($E159-'Rainfall Distribution Coef.'!$B$25)/('Rainfall Distribution Coef.'!$B$26-'Rainfall Distribution Coef.'!$B$25)),IF(AND($E159&gt;'Rainfall Distribution Coef.'!$B$26,$E159&lt;'Rainfall Distribution Coef.'!$B$27),'Rainfall Distribution Coef.'!C$26+('Rainfall Distribution Coef.'!C$27-'Rainfall Distribution Coef.'!C$26)*(($E159-'Rainfall Distribution Coef.'!$B$26)/('Rainfall Distribution Coef.'!$B$27-'Rainfall Distribution Coef.'!$B$26)), IF($E159='Rainfall Distribution Coef.'!$B$27,'Rainfall Distribution Coef.'!C$27,0))))))))</f>
        <v>2.5481153548267557</v>
      </c>
      <c r="R159" s="95">
        <f>(IF('Rainfall Distribution Coef.'!$B$22&gt;$E159,'Rainfall Distribution Coef.'!D$22,IF(AND($E159&gt;'Rainfall Distribution Coef.'!$B$22,$E159&lt;'Rainfall Distribution Coef.'!$B$23),'Rainfall Distribution Coef.'!D$22+('Rainfall Distribution Coef.'!D$23-'Rainfall Distribution Coef.'!D$22)*(($E159-'Rainfall Distribution Coef.'!$B$22)/('Rainfall Distribution Coef.'!$B$23-'Rainfall Distribution Coef.'!$B$22)),IF(AND($E159&gt;'Rainfall Distribution Coef.'!$B$23,$E159&lt;'Rainfall Distribution Coef.'!$B$24),'Rainfall Distribution Coef.'!D$23+('Rainfall Distribution Coef.'!D$24-'Rainfall Distribution Coef.'!D$23)*(($E159-'Rainfall Distribution Coef.'!$B$23)/('Rainfall Distribution Coef.'!$B$24-'Rainfall Distribution Coef.'!$B$23)),IF(AND($E159&gt;'Rainfall Distribution Coef.'!$B$24,$E159&lt;'Rainfall Distribution Coef.'!$B$25),'Rainfall Distribution Coef.'!D$24+('Rainfall Distribution Coef.'!D$25-'Rainfall Distribution Coef.'!D$24)*(($E159-'Rainfall Distribution Coef.'!$B$24)/('Rainfall Distribution Coef.'!$B$25-'Rainfall Distribution Coef.'!$B$24)),IF(AND($E159&gt;'Rainfall Distribution Coef.'!$B$25,$E159&lt;'Rainfall Distribution Coef.'!$B$26),'Rainfall Distribution Coef.'!D$25+('Rainfall Distribution Coef.'!D$26-'Rainfall Distribution Coef.'!D$25)*(($E159-'Rainfall Distribution Coef.'!$B$25)/('Rainfall Distribution Coef.'!$B$26-'Rainfall Distribution Coef.'!$B$25)),IF(AND($E159&gt;'Rainfall Distribution Coef.'!$B$26,$E159&lt;'Rainfall Distribution Coef.'!$B$27),'Rainfall Distribution Coef.'!D$26+('Rainfall Distribution Coef.'!D$27-'Rainfall Distribution Coef.'!D$26)*(($E159-'Rainfall Distribution Coef.'!$B$26)/('Rainfall Distribution Coef.'!$B$27-'Rainfall Distribution Coef.'!$B$26)), IF($E159='Rainfall Distribution Coef.'!$B$27,'Rainfall Distribution Coef.'!D$27,0))))))))</f>
        <v>-0.61555344450620719</v>
      </c>
      <c r="S159" s="95">
        <f>(IF('Rainfall Distribution Coef.'!$B$22&gt;$E159,'Rainfall Distribution Coef.'!E$22,IF(AND($E159&gt;'Rainfall Distribution Coef.'!$B$22,$E159&lt;'Rainfall Distribution Coef.'!$B$23),'Rainfall Distribution Coef.'!E$22+('Rainfall Distribution Coef.'!E$23-'Rainfall Distribution Coef.'!E$22)*(($E159-'Rainfall Distribution Coef.'!$B$22)/('Rainfall Distribution Coef.'!$B$23-'Rainfall Distribution Coef.'!$B$22)),IF(AND($E159&gt;'Rainfall Distribution Coef.'!$B$23,$E159&lt;'Rainfall Distribution Coef.'!$B$24),'Rainfall Distribution Coef.'!E$23+('Rainfall Distribution Coef.'!E$24-'Rainfall Distribution Coef.'!E$23)*(($E159-'Rainfall Distribution Coef.'!$B$23)/('Rainfall Distribution Coef.'!$B$24-'Rainfall Distribution Coef.'!$B$23)),IF(AND($E159&gt;'Rainfall Distribution Coef.'!$B$24,$E159&lt;'Rainfall Distribution Coef.'!$B$25),'Rainfall Distribution Coef.'!E$24+('Rainfall Distribution Coef.'!E$25-'Rainfall Distribution Coef.'!E$24)*(($E159-'Rainfall Distribution Coef.'!$B$24)/('Rainfall Distribution Coef.'!$B$25-'Rainfall Distribution Coef.'!$B$24)),IF(AND($E159&gt;'Rainfall Distribution Coef.'!$B$25,$E159&lt;'Rainfall Distribution Coef.'!$B$26),'Rainfall Distribution Coef.'!E$25+('Rainfall Distribution Coef.'!E$26-'Rainfall Distribution Coef.'!E$25)*(($E159-'Rainfall Distribution Coef.'!$B$25)/('Rainfall Distribution Coef.'!$B$26-'Rainfall Distribution Coef.'!$B$25)),IF(AND($E159&gt;'Rainfall Distribution Coef.'!$B$26,$E159&lt;'Rainfall Distribution Coef.'!$B$27),'Rainfall Distribution Coef.'!E$26+('Rainfall Distribution Coef.'!E$27-'Rainfall Distribution Coef.'!E$26)*(($E159-'Rainfall Distribution Coef.'!$B$26)/('Rainfall Distribution Coef.'!$B$27-'Rainfall Distribution Coef.'!$B$26)), IF($E159='Rainfall Distribution Coef.'!$B$27,'Rainfall Distribution Coef.'!E$27,0))))))))</f>
        <v>-0.16126875486381323</v>
      </c>
      <c r="T159" s="95">
        <f>(IF('Rainfall Distribution Coef.'!$B$29&gt;$E159,'Rainfall Distribution Coef.'!C$29,IF(AND($E159&gt;'Rainfall Distribution Coef.'!$B$29,$E159&lt;'Rainfall Distribution Coef.'!$B$30),'Rainfall Distribution Coef.'!C$29+('Rainfall Distribution Coef.'!C$30-'Rainfall Distribution Coef.'!C$29)*(($E159-'Rainfall Distribution Coef.'!$B$29)/('Rainfall Distribution Coef.'!$B$30-'Rainfall Distribution Coef.'!$B$29)),IF(AND($E159&gt;'Rainfall Distribution Coef.'!$B$30,$E159&lt;'Rainfall Distribution Coef.'!$B$31),'Rainfall Distribution Coef.'!C$30+('Rainfall Distribution Coef.'!C$31-'Rainfall Distribution Coef.'!C$30)*(($E159-'Rainfall Distribution Coef.'!$B$30)/('Rainfall Distribution Coef.'!$B$31-'Rainfall Distribution Coef.'!$B$30)),IF(AND($E159&gt;'Rainfall Distribution Coef.'!$B$31,$E159&lt;'Rainfall Distribution Coef.'!$B$32),'Rainfall Distribution Coef.'!C$31+('Rainfall Distribution Coef.'!C$32-'Rainfall Distribution Coef.'!C$31)*(($E159-'Rainfall Distribution Coef.'!$B$31)/('Rainfall Distribution Coef.'!$B$32-'Rainfall Distribution Coef.'!$B$31)),IF(AND($E159&gt;'Rainfall Distribution Coef.'!$B$32,$E159&lt;'Rainfall Distribution Coef.'!$B$33),'Rainfall Distribution Coef.'!C$32+('Rainfall Distribution Coef.'!C$33-'Rainfall Distribution Coef.'!C$32)*(($E159-'Rainfall Distribution Coef.'!$B$32)/('Rainfall Distribution Coef.'!$B$33-'Rainfall Distribution Coef.'!$B$32)),IF(AND($E159&gt;'Rainfall Distribution Coef.'!$B$33,$E159&lt;'Rainfall Distribution Coef.'!$B$34),'Rainfall Distribution Coef.'!C$33+('Rainfall Distribution Coef.'!C$34-'Rainfall Distribution Coef.'!C$33)*(($E159-'Rainfall Distribution Coef.'!$B$33)/('Rainfall Distribution Coef.'!$B$34-'Rainfall Distribution Coef.'!$B$33)), IF($E159='Rainfall Distribution Coef.'!$B$34,'Rainfall Distribution Coef.'!C$34,0))))))))</f>
        <v>2.4686965036131183</v>
      </c>
      <c r="U159" s="95">
        <f>(IF('Rainfall Distribution Coef.'!$B$29&gt;$E159,'Rainfall Distribution Coef.'!D$29,IF(AND($E159&gt;'Rainfall Distribution Coef.'!$B$29,$E159&lt;'Rainfall Distribution Coef.'!$B$30),'Rainfall Distribution Coef.'!D$29+('Rainfall Distribution Coef.'!D$30-'Rainfall Distribution Coef.'!D$29)*(($E159-'Rainfall Distribution Coef.'!$B$29)/('Rainfall Distribution Coef.'!$B$30-'Rainfall Distribution Coef.'!$B$29)),IF(AND($E159&gt;'Rainfall Distribution Coef.'!$B$30,$E159&lt;'Rainfall Distribution Coef.'!$B$31),'Rainfall Distribution Coef.'!D$30+('Rainfall Distribution Coef.'!D$31-'Rainfall Distribution Coef.'!D$30)*(($E159-'Rainfall Distribution Coef.'!$B$30)/('Rainfall Distribution Coef.'!$B$31-'Rainfall Distribution Coef.'!$B$30)),IF(AND($E159&gt;'Rainfall Distribution Coef.'!$B$31,$E159&lt;'Rainfall Distribution Coef.'!$B$32),'Rainfall Distribution Coef.'!D$31+('Rainfall Distribution Coef.'!D$32-'Rainfall Distribution Coef.'!D$31)*(($E159-'Rainfall Distribution Coef.'!$B$31)/('Rainfall Distribution Coef.'!$B$32-'Rainfall Distribution Coef.'!$B$31)),IF(AND($E159&gt;'Rainfall Distribution Coef.'!$B$32,$E159&lt;'Rainfall Distribution Coef.'!$B$33),'Rainfall Distribution Coef.'!D$32+('Rainfall Distribution Coef.'!D$33-'Rainfall Distribution Coef.'!D$32)*(($E159-'Rainfall Distribution Coef.'!$B$32)/('Rainfall Distribution Coef.'!$B$33-'Rainfall Distribution Coef.'!$B$32)),IF(AND($E159&gt;'Rainfall Distribution Coef.'!$B$33,$E159&lt;'Rainfall Distribution Coef.'!$B$34),'Rainfall Distribution Coef.'!D$33+('Rainfall Distribution Coef.'!D$34-'Rainfall Distribution Coef.'!D$33)*(($E159-'Rainfall Distribution Coef.'!$B$33)/('Rainfall Distribution Coef.'!$B$34-'Rainfall Distribution Coef.'!$B$33)), IF($E159='Rainfall Distribution Coef.'!$B$34,'Rainfall Distribution Coef.'!D$34,0))))))))</f>
        <v>-0.51810415415971844</v>
      </c>
      <c r="V159" s="95">
        <f>(IF('Rainfall Distribution Coef.'!$B$29&gt;$E159,'Rainfall Distribution Coef.'!E$29,IF(AND($E159&gt;'Rainfall Distribution Coef.'!$B$29,$E159&lt;'Rainfall Distribution Coef.'!$B$30),'Rainfall Distribution Coef.'!E$29+('Rainfall Distribution Coef.'!E$30-'Rainfall Distribution Coef.'!E$29)*(($E159-'Rainfall Distribution Coef.'!$B$29)/('Rainfall Distribution Coef.'!$B$30-'Rainfall Distribution Coef.'!$B$29)),IF(AND($E159&gt;'Rainfall Distribution Coef.'!$B$30,$E159&lt;'Rainfall Distribution Coef.'!$B$31),'Rainfall Distribution Coef.'!E$30+('Rainfall Distribution Coef.'!E$31-'Rainfall Distribution Coef.'!E$30)*(($E159-'Rainfall Distribution Coef.'!$B$30)/('Rainfall Distribution Coef.'!$B$31-'Rainfall Distribution Coef.'!$B$30)),IF(AND($E159&gt;'Rainfall Distribution Coef.'!$B$31,$E159&lt;'Rainfall Distribution Coef.'!$B$32),'Rainfall Distribution Coef.'!E$31+('Rainfall Distribution Coef.'!E$32-'Rainfall Distribution Coef.'!E$31)*(($E159-'Rainfall Distribution Coef.'!$B$31)/('Rainfall Distribution Coef.'!$B$32-'Rainfall Distribution Coef.'!$B$31)),IF(AND($E159&gt;'Rainfall Distribution Coef.'!$B$32,$E159&lt;'Rainfall Distribution Coef.'!$B$33),'Rainfall Distribution Coef.'!E$32+('Rainfall Distribution Coef.'!E$33-'Rainfall Distribution Coef.'!E$32)*(($E159-'Rainfall Distribution Coef.'!$B$32)/('Rainfall Distribution Coef.'!$B$33-'Rainfall Distribution Coef.'!$B$32)),IF(AND($E159&gt;'Rainfall Distribution Coef.'!$B$33,$E159&lt;'Rainfall Distribution Coef.'!$B$34),'Rainfall Distribution Coef.'!E$33+('Rainfall Distribution Coef.'!E$34-'Rainfall Distribution Coef.'!E$33)*(($E159-'Rainfall Distribution Coef.'!$B$33)/('Rainfall Distribution Coef.'!$B$34-'Rainfall Distribution Coef.'!$B$33)), IF($E159='Rainfall Distribution Coef.'!$B$34,'Rainfall Distribution Coef.'!E$34,0))))))))</f>
        <v>-0.16859703353715028</v>
      </c>
    </row>
    <row r="160" spans="1:22" ht="12.75" x14ac:dyDescent="0.2">
      <c r="B160" s="90">
        <v>50</v>
      </c>
      <c r="C160" s="86">
        <f>F129</f>
        <v>7.3</v>
      </c>
      <c r="D160" s="86">
        <f>$E$136</f>
        <v>0.71447100240874561</v>
      </c>
      <c r="E160" s="86">
        <f>IF(D160/C160&gt;0.5,0.5,D160/C160)</f>
        <v>9.7872740055992558E-2</v>
      </c>
      <c r="F160" s="91">
        <f>IF($A$63='Rainfall Distribution Coef.'!$K$2,10^(K160+(L160*LOG($E$119))+(M160*(LOG($E$119))^2)),IF($A$63='Rainfall Distribution Coef.'!$K$3,10^(N160+(O160*LOG($E$119))+(P160*(LOG($E$119))^2)),IF($A$63='Rainfall Distribution Coef.'!$K$4,10^(Q160+(R160*LOG($E$119))+(S160*(LOG($E$119))^2)),IF($A$63='Rainfall Distribution Coef.'!$K$5,10^(T160+(U160*LOG($E$119))+(V160*(LOG($E$119))^2)),"UPDATE"))))</f>
        <v>403.64872606303015</v>
      </c>
      <c r="G160" s="75" t="s">
        <v>89</v>
      </c>
      <c r="H160" s="82"/>
      <c r="K160" s="94">
        <f>(IF('Rainfall Distribution Coef.'!$B$7&gt;$E160,'Rainfall Distribution Coef.'!C$7,IF(AND($E160&gt;'Rainfall Distribution Coef.'!$B$7,$E160&lt;'Rainfall Distribution Coef.'!$B$8),'Rainfall Distribution Coef.'!C$7+('Rainfall Distribution Coef.'!C$8-'Rainfall Distribution Coef.'!C$7)*(($E160-'Rainfall Distribution Coef.'!$B$7)/('Rainfall Distribution Coef.'!$B$8-'Rainfall Distribution Coef.'!$B$7)),IF(AND($E160&gt;'Rainfall Distribution Coef.'!$B$8,$E160&lt;'Rainfall Distribution Coef.'!$B$9),'Rainfall Distribution Coef.'!C$8+('Rainfall Distribution Coef.'!C$9-'Rainfall Distribution Coef.'!C$8)*(($E160-'Rainfall Distribution Coef.'!$B$8)/('Rainfall Distribution Coef.'!$B$9-'Rainfall Distribution Coef.'!$B$8)),IF(AND($E160&gt;'Rainfall Distribution Coef.'!$B$9,$E160&lt;'Rainfall Distribution Coef.'!$B$10),'Rainfall Distribution Coef.'!C$9+('Rainfall Distribution Coef.'!C$10-'Rainfall Distribution Coef.'!C$9)*(($E160-'Rainfall Distribution Coef.'!$B$9)/('Rainfall Distribution Coef.'!$B$10-'Rainfall Distribution Coef.'!$B$9)),IF(AND($E160&gt;'Rainfall Distribution Coef.'!$B$10,$E160&lt;'Rainfall Distribution Coef.'!$B$11),'Rainfall Distribution Coef.'!C$10+('Rainfall Distribution Coef.'!C$11-'Rainfall Distribution Coef.'!C$10)*(($E160-'Rainfall Distribution Coef.'!$B$10)/('Rainfall Distribution Coef.'!$B$11-'Rainfall Distribution Coef.'!$B$10)),IF(AND($E160&gt;'Rainfall Distribution Coef.'!$B$11,$E160&lt;'Rainfall Distribution Coef.'!$B$12),'Rainfall Distribution Coef.'!C$11+('Rainfall Distribution Coef.'!C$12-'Rainfall Distribution Coef.'!C$11)*(($E160-'Rainfall Distribution Coef.'!$B$11)/('Rainfall Distribution Coef.'!$B$12-'Rainfall Distribution Coef.'!$B$11)),IF(AND($E160&gt;'Rainfall Distribution Coef.'!$B$12,$E160&lt;'Rainfall Distribution Coef.'!$B$13),'Rainfall Distribution Coef.'!C$12+('Rainfall Distribution Coef.'!C$13-'Rainfall Distribution Coef.'!C$12)*(($E160-'Rainfall Distribution Coef.'!$B$12)/('Rainfall Distribution Coef.'!$B$13-'Rainfall Distribution Coef.'!$B$12)),0))))))))+IF(AND($E160&gt;'Rainfall Distribution Coef.'!$B$13,$E160&lt;'Rainfall Distribution Coef.'!$B$14),'Rainfall Distribution Coef.'!C$13+('Rainfall Distribution Coef.'!C$14-'Rainfall Distribution Coef.'!C$13)*(($E160-'Rainfall Distribution Coef.'!$B$13)/('Rainfall Distribution Coef.'!$B$14-'Rainfall Distribution Coef.'!$B$13)),IF($E160='Rainfall Distribution Coef.'!$B$14,'Rainfall Distribution Coef.'!C$14,0))</f>
        <v>2.3054999999999999</v>
      </c>
      <c r="L160" s="94">
        <f>(IF('Rainfall Distribution Coef.'!$B$7&gt;$E160,'Rainfall Distribution Coef.'!D$7,IF(AND($E160&gt;'Rainfall Distribution Coef.'!$B$7,$E160&lt;'Rainfall Distribution Coef.'!$B$8),'Rainfall Distribution Coef.'!D$7+('Rainfall Distribution Coef.'!D$8-'Rainfall Distribution Coef.'!D$7)*(($E160-'Rainfall Distribution Coef.'!$B$7)/('Rainfall Distribution Coef.'!$B$8-'Rainfall Distribution Coef.'!$B$7)),IF(AND($E160&gt;'Rainfall Distribution Coef.'!$B$8,$E160&lt;'Rainfall Distribution Coef.'!$B$9),'Rainfall Distribution Coef.'!D$8+('Rainfall Distribution Coef.'!D$9-'Rainfall Distribution Coef.'!D$8)*(($E160-'Rainfall Distribution Coef.'!$B$8)/('Rainfall Distribution Coef.'!$B$9-'Rainfall Distribution Coef.'!$B$8)),IF(AND($E160&gt;'Rainfall Distribution Coef.'!$B$9,$E160&lt;'Rainfall Distribution Coef.'!$B$10),'Rainfall Distribution Coef.'!D$9+('Rainfall Distribution Coef.'!D$10-'Rainfall Distribution Coef.'!D$9)*(($E160-'Rainfall Distribution Coef.'!$B$9)/('Rainfall Distribution Coef.'!$B$10-'Rainfall Distribution Coef.'!$B$9)),IF(AND($E160&gt;'Rainfall Distribution Coef.'!$B$10,$E160&lt;'Rainfall Distribution Coef.'!$B$11),'Rainfall Distribution Coef.'!D$10+('Rainfall Distribution Coef.'!D$11-'Rainfall Distribution Coef.'!D$10)*(($E160-'Rainfall Distribution Coef.'!$B$10)/('Rainfall Distribution Coef.'!$B$11-'Rainfall Distribution Coef.'!$B$10)),IF(AND($E160&gt;'Rainfall Distribution Coef.'!$B$11,$E160&lt;'Rainfall Distribution Coef.'!$B$12),'Rainfall Distribution Coef.'!D$11+('Rainfall Distribution Coef.'!D$12-'Rainfall Distribution Coef.'!D$11)*(($E160-'Rainfall Distribution Coef.'!$B$11)/('Rainfall Distribution Coef.'!$B$12-'Rainfall Distribution Coef.'!$B$11)),IF(AND($E160&gt;'Rainfall Distribution Coef.'!$B$12,$E160&lt;'Rainfall Distribution Coef.'!$B$13),'Rainfall Distribution Coef.'!D$12+('Rainfall Distribution Coef.'!D$13-'Rainfall Distribution Coef.'!D$12)*(($E160-'Rainfall Distribution Coef.'!$B$12)/('Rainfall Distribution Coef.'!$B$13-'Rainfall Distribution Coef.'!$B$12)),0))))))))+IF(AND($E160&gt;'Rainfall Distribution Coef.'!$B$13,$E160&lt;'Rainfall Distribution Coef.'!$B$14),'Rainfall Distribution Coef.'!D$13+('Rainfall Distribution Coef.'!D$14-'Rainfall Distribution Coef.'!D$13)*(($E160-'Rainfall Distribution Coef.'!$B$13)/('Rainfall Distribution Coef.'!$B$14-'Rainfall Distribution Coef.'!$B$13)),IF($E160='Rainfall Distribution Coef.'!$B$14,'Rainfall Distribution Coef.'!D$14,0))</f>
        <v>-0.51429000000000002</v>
      </c>
      <c r="M160" s="94">
        <f>(IF('Rainfall Distribution Coef.'!$B$7&gt;$E160,'Rainfall Distribution Coef.'!E$7,IF(AND($E160&gt;'Rainfall Distribution Coef.'!$B$7,$E160&lt;'Rainfall Distribution Coef.'!$B$8),'Rainfall Distribution Coef.'!E$7+('Rainfall Distribution Coef.'!E$8-'Rainfall Distribution Coef.'!E$7)*(($E160-'Rainfall Distribution Coef.'!$B$7)/('Rainfall Distribution Coef.'!$B$8-'Rainfall Distribution Coef.'!$B$7)),IF(AND($E160&gt;'Rainfall Distribution Coef.'!$B$8,$E160&lt;'Rainfall Distribution Coef.'!$B$9),'Rainfall Distribution Coef.'!E$8+('Rainfall Distribution Coef.'!E$9-'Rainfall Distribution Coef.'!E$8)*(($E160-'Rainfall Distribution Coef.'!$B$8)/('Rainfall Distribution Coef.'!$B$9-'Rainfall Distribution Coef.'!$B$8)),IF(AND($E160&gt;'Rainfall Distribution Coef.'!$B$9,$E160&lt;'Rainfall Distribution Coef.'!$B$10),'Rainfall Distribution Coef.'!E$9+('Rainfall Distribution Coef.'!E$10-'Rainfall Distribution Coef.'!E$9)*(($E160-'Rainfall Distribution Coef.'!$B$9)/('Rainfall Distribution Coef.'!$B$10-'Rainfall Distribution Coef.'!$B$9)),IF(AND($E160&gt;'Rainfall Distribution Coef.'!$B$10,$E160&lt;'Rainfall Distribution Coef.'!$B$11),'Rainfall Distribution Coef.'!E$10+('Rainfall Distribution Coef.'!E$11-'Rainfall Distribution Coef.'!E$10)*(($E160-'Rainfall Distribution Coef.'!$B$10)/('Rainfall Distribution Coef.'!$B$11-'Rainfall Distribution Coef.'!$B$10)),IF(AND($E160&gt;'Rainfall Distribution Coef.'!$B$11,$E160&lt;'Rainfall Distribution Coef.'!$B$12),'Rainfall Distribution Coef.'!E$11+('Rainfall Distribution Coef.'!E$12-'Rainfall Distribution Coef.'!E$11)*(($E160-'Rainfall Distribution Coef.'!$B$11)/('Rainfall Distribution Coef.'!$B$12-'Rainfall Distribution Coef.'!$B$11)),IF(AND($E160&gt;'Rainfall Distribution Coef.'!$B$12,$E160&lt;'Rainfall Distribution Coef.'!$B$13),'Rainfall Distribution Coef.'!E$12+('Rainfall Distribution Coef.'!E$13-'Rainfall Distribution Coef.'!E$12)*(($E160-'Rainfall Distribution Coef.'!$B$12)/('Rainfall Distribution Coef.'!$B$13-'Rainfall Distribution Coef.'!$B$12)),0))))))))+IF(AND($E160&gt;'Rainfall Distribution Coef.'!$B$13,$E160&lt;'Rainfall Distribution Coef.'!$B$14),'Rainfall Distribution Coef.'!E$13+('Rainfall Distribution Coef.'!E$14-'Rainfall Distribution Coef.'!E$13)*(($E160-'Rainfall Distribution Coef.'!$B$13)/('Rainfall Distribution Coef.'!$B$14-'Rainfall Distribution Coef.'!$B$13)),IF($E160='Rainfall Distribution Coef.'!$B$14,'Rainfall Distribution Coef.'!E$14,0))</f>
        <v>-0.11749999999999999</v>
      </c>
      <c r="N160" s="94">
        <f>(IF('Rainfall Distribution Coef.'!$B$16&gt;$E160,'Rainfall Distribution Coef.'!C$16,IF(AND($E160&gt;'Rainfall Distribution Coef.'!$B$16,$E160&lt;'Rainfall Distribution Coef.'!$B$17),'Rainfall Distribution Coef.'!C$16+('Rainfall Distribution Coef.'!C$17-'Rainfall Distribution Coef.'!C$16)*(($E160-'Rainfall Distribution Coef.'!$B$16)/('Rainfall Distribution Coef.'!$B$17-'Rainfall Distribution Coef.'!$B$16)),IF(AND($E160&gt;'Rainfall Distribution Coef.'!$B$17,$E160&lt;'Rainfall Distribution Coef.'!$B$18),'Rainfall Distribution Coef.'!C$17+('Rainfall Distribution Coef.'!C$18-'Rainfall Distribution Coef.'!C$17)*(($E160-'Rainfall Distribution Coef.'!$B$17)/('Rainfall Distribution Coef.'!$B$18-'Rainfall Distribution Coef.'!$B$17)),IF(AND($E160&gt;'Rainfall Distribution Coef.'!$B$18,$E160&lt;'Rainfall Distribution Coef.'!$B$19),'Rainfall Distribution Coef.'!C$18+('Rainfall Distribution Coef.'!C$19-'Rainfall Distribution Coef.'!C$18)*(($E160-'Rainfall Distribution Coef.'!$B$18)/('Rainfall Distribution Coef.'!$B$19-'Rainfall Distribution Coef.'!$B$18)),IF(AND($E160&gt;'Rainfall Distribution Coef.'!$B$19,$E160&lt;'Rainfall Distribution Coef.'!$B$20),'Rainfall Distribution Coef.'!C$19+('Rainfall Distribution Coef.'!C$20-'Rainfall Distribution Coef.'!C$19)*(($E160-'Rainfall Distribution Coef.'!$B$19)/('Rainfall Distribution Coef.'!$B$20-'Rainfall Distribution Coef.'!$B$19)),IF($E160='Rainfall Distribution Coef.'!$B$20,'Rainfall Distribution Coef.'!C$20,0)))))))</f>
        <v>2.0325000000000002</v>
      </c>
      <c r="O160" s="94">
        <f>(IF('Rainfall Distribution Coef.'!$B$16&gt;$E160,'Rainfall Distribution Coef.'!D$16,IF(AND($E160&gt;'Rainfall Distribution Coef.'!$B$16,$E160&lt;'Rainfall Distribution Coef.'!$B$17),'Rainfall Distribution Coef.'!D$16+('Rainfall Distribution Coef.'!D$17-'Rainfall Distribution Coef.'!D$16)*(($E160-'Rainfall Distribution Coef.'!$B$16)/('Rainfall Distribution Coef.'!$B$17-'Rainfall Distribution Coef.'!$B$16)),IF(AND($E160&gt;'Rainfall Distribution Coef.'!$B$17,$E160&lt;'Rainfall Distribution Coef.'!$B$18),'Rainfall Distribution Coef.'!D$17+('Rainfall Distribution Coef.'!D$18-'Rainfall Distribution Coef.'!D$17)*(($E160-'Rainfall Distribution Coef.'!$B$17)/('Rainfall Distribution Coef.'!$B$18-'Rainfall Distribution Coef.'!$B$17)),IF(AND($E160&gt;'Rainfall Distribution Coef.'!$B$18,$E160&lt;'Rainfall Distribution Coef.'!$B$19),'Rainfall Distribution Coef.'!D$18+('Rainfall Distribution Coef.'!D$19-'Rainfall Distribution Coef.'!D$18)*(($E160-'Rainfall Distribution Coef.'!$B$18)/('Rainfall Distribution Coef.'!$B$19-'Rainfall Distribution Coef.'!$B$18)),IF(AND($E160&gt;'Rainfall Distribution Coef.'!$B$19,$E160&lt;'Rainfall Distribution Coef.'!$B$20),'Rainfall Distribution Coef.'!D$19+('Rainfall Distribution Coef.'!D$20-'Rainfall Distribution Coef.'!D$19)*(($E160-'Rainfall Distribution Coef.'!$B$19)/('Rainfall Distribution Coef.'!$B$20-'Rainfall Distribution Coef.'!$B$19)),IF($E160='Rainfall Distribution Coef.'!$B$20,'Rainfall Distribution Coef.'!D$20,0)))))))</f>
        <v>-0.31583</v>
      </c>
      <c r="P160" s="94">
        <f>(IF('Rainfall Distribution Coef.'!$B$16&gt;$E160,'Rainfall Distribution Coef.'!E$16,IF(AND($E160&gt;'Rainfall Distribution Coef.'!$B$16,$E160&lt;'Rainfall Distribution Coef.'!$B$17),'Rainfall Distribution Coef.'!E$16+('Rainfall Distribution Coef.'!E$17-'Rainfall Distribution Coef.'!E$16)*(($E160-'Rainfall Distribution Coef.'!$B$16)/('Rainfall Distribution Coef.'!$B$17-'Rainfall Distribution Coef.'!$B$16)),IF(AND($E160&gt;'Rainfall Distribution Coef.'!$B$17,$E160&lt;'Rainfall Distribution Coef.'!$B$18),'Rainfall Distribution Coef.'!E$17+('Rainfall Distribution Coef.'!E$18-'Rainfall Distribution Coef.'!E$17)*(($E160-'Rainfall Distribution Coef.'!$B$17)/('Rainfall Distribution Coef.'!$B$18-'Rainfall Distribution Coef.'!$B$17)),IF(AND($E160&gt;'Rainfall Distribution Coef.'!$B$18,$E160&lt;'Rainfall Distribution Coef.'!$B$19),'Rainfall Distribution Coef.'!E$18+('Rainfall Distribution Coef.'!E$19-'Rainfall Distribution Coef.'!E$18)*(($E160-'Rainfall Distribution Coef.'!$B$18)/('Rainfall Distribution Coef.'!$B$19-'Rainfall Distribution Coef.'!$B$18)),IF(AND($E160&gt;'Rainfall Distribution Coef.'!$B$19,$E160&lt;'Rainfall Distribution Coef.'!$B$20),'Rainfall Distribution Coef.'!E$19+('Rainfall Distribution Coef.'!E$20-'Rainfall Distribution Coef.'!E$19)*(($E160-'Rainfall Distribution Coef.'!$B$19)/('Rainfall Distribution Coef.'!$B$20-'Rainfall Distribution Coef.'!$B$19)),IF($E160='Rainfall Distribution Coef.'!$B$20,'Rainfall Distribution Coef.'!E$20,0)))))))</f>
        <v>-0.13747999999999999</v>
      </c>
      <c r="Q160" s="95">
        <f>(IF('Rainfall Distribution Coef.'!$B$22&gt;$E160,'Rainfall Distribution Coef.'!C$22,IF(AND($E160&gt;'Rainfall Distribution Coef.'!$B$22,$E160&lt;'Rainfall Distribution Coef.'!$B$23),'Rainfall Distribution Coef.'!C$22+('Rainfall Distribution Coef.'!C$23-'Rainfall Distribution Coef.'!C$22)*(($E160-'Rainfall Distribution Coef.'!$B$22)/('Rainfall Distribution Coef.'!$B$23-'Rainfall Distribution Coef.'!$B$22)),IF(AND($E160&gt;'Rainfall Distribution Coef.'!$B$23,$E160&lt;'Rainfall Distribution Coef.'!$B$24),'Rainfall Distribution Coef.'!C$23+('Rainfall Distribution Coef.'!C$24-'Rainfall Distribution Coef.'!C$23)*(($E160-'Rainfall Distribution Coef.'!$B$23)/('Rainfall Distribution Coef.'!$B$24-'Rainfall Distribution Coef.'!$B$23)),IF(AND($E160&gt;'Rainfall Distribution Coef.'!$B$24,$E160&lt;'Rainfall Distribution Coef.'!$B$25),'Rainfall Distribution Coef.'!C$24+('Rainfall Distribution Coef.'!C$25-'Rainfall Distribution Coef.'!C$24)*(($E160-'Rainfall Distribution Coef.'!$B$24)/('Rainfall Distribution Coef.'!$B$25-'Rainfall Distribution Coef.'!$B$24)),IF(AND($E160&gt;'Rainfall Distribution Coef.'!$B$25,$E160&lt;'Rainfall Distribution Coef.'!$B$26),'Rainfall Distribution Coef.'!C$25+('Rainfall Distribution Coef.'!C$26-'Rainfall Distribution Coef.'!C$25)*(($E160-'Rainfall Distribution Coef.'!$B$25)/('Rainfall Distribution Coef.'!$B$26-'Rainfall Distribution Coef.'!$B$25)),IF(AND($E160&gt;'Rainfall Distribution Coef.'!$B$26,$E160&lt;'Rainfall Distribution Coef.'!$B$27),'Rainfall Distribution Coef.'!C$26+('Rainfall Distribution Coef.'!C$27-'Rainfall Distribution Coef.'!C$26)*(($E160-'Rainfall Distribution Coef.'!$B$26)/('Rainfall Distribution Coef.'!$B$27-'Rainfall Distribution Coef.'!$B$26)), IF($E160='Rainfall Distribution Coef.'!$B$27,'Rainfall Distribution Coef.'!C$27,0))))))))</f>
        <v>2.5532300000000001</v>
      </c>
      <c r="R160" s="95">
        <f>(IF('Rainfall Distribution Coef.'!$B$22&gt;$E160,'Rainfall Distribution Coef.'!D$22,IF(AND($E160&gt;'Rainfall Distribution Coef.'!$B$22,$E160&lt;'Rainfall Distribution Coef.'!$B$23),'Rainfall Distribution Coef.'!D$22+('Rainfall Distribution Coef.'!D$23-'Rainfall Distribution Coef.'!D$22)*(($E160-'Rainfall Distribution Coef.'!$B$22)/('Rainfall Distribution Coef.'!$B$23-'Rainfall Distribution Coef.'!$B$22)),IF(AND($E160&gt;'Rainfall Distribution Coef.'!$B$23,$E160&lt;'Rainfall Distribution Coef.'!$B$24),'Rainfall Distribution Coef.'!D$23+('Rainfall Distribution Coef.'!D$24-'Rainfall Distribution Coef.'!D$23)*(($E160-'Rainfall Distribution Coef.'!$B$23)/('Rainfall Distribution Coef.'!$B$24-'Rainfall Distribution Coef.'!$B$23)),IF(AND($E160&gt;'Rainfall Distribution Coef.'!$B$24,$E160&lt;'Rainfall Distribution Coef.'!$B$25),'Rainfall Distribution Coef.'!D$24+('Rainfall Distribution Coef.'!D$25-'Rainfall Distribution Coef.'!D$24)*(($E160-'Rainfall Distribution Coef.'!$B$24)/('Rainfall Distribution Coef.'!$B$25-'Rainfall Distribution Coef.'!$B$24)),IF(AND($E160&gt;'Rainfall Distribution Coef.'!$B$25,$E160&lt;'Rainfall Distribution Coef.'!$B$26),'Rainfall Distribution Coef.'!D$25+('Rainfall Distribution Coef.'!D$26-'Rainfall Distribution Coef.'!D$25)*(($E160-'Rainfall Distribution Coef.'!$B$25)/('Rainfall Distribution Coef.'!$B$26-'Rainfall Distribution Coef.'!$B$25)),IF(AND($E160&gt;'Rainfall Distribution Coef.'!$B$26,$E160&lt;'Rainfall Distribution Coef.'!$B$27),'Rainfall Distribution Coef.'!D$26+('Rainfall Distribution Coef.'!D$27-'Rainfall Distribution Coef.'!D$26)*(($E160-'Rainfall Distribution Coef.'!$B$26)/('Rainfall Distribution Coef.'!$B$27-'Rainfall Distribution Coef.'!$B$26)), IF($E160='Rainfall Distribution Coef.'!$B$27,'Rainfall Distribution Coef.'!D$27,0))))))))</f>
        <v>-0.61512</v>
      </c>
      <c r="S160" s="95">
        <f>(IF('Rainfall Distribution Coef.'!$B$22&gt;$E160,'Rainfall Distribution Coef.'!E$22,IF(AND($E160&gt;'Rainfall Distribution Coef.'!$B$22,$E160&lt;'Rainfall Distribution Coef.'!$B$23),'Rainfall Distribution Coef.'!E$22+('Rainfall Distribution Coef.'!E$23-'Rainfall Distribution Coef.'!E$22)*(($E160-'Rainfall Distribution Coef.'!$B$22)/('Rainfall Distribution Coef.'!$B$23-'Rainfall Distribution Coef.'!$B$22)),IF(AND($E160&gt;'Rainfall Distribution Coef.'!$B$23,$E160&lt;'Rainfall Distribution Coef.'!$B$24),'Rainfall Distribution Coef.'!E$23+('Rainfall Distribution Coef.'!E$24-'Rainfall Distribution Coef.'!E$23)*(($E160-'Rainfall Distribution Coef.'!$B$23)/('Rainfall Distribution Coef.'!$B$24-'Rainfall Distribution Coef.'!$B$23)),IF(AND($E160&gt;'Rainfall Distribution Coef.'!$B$24,$E160&lt;'Rainfall Distribution Coef.'!$B$25),'Rainfall Distribution Coef.'!E$24+('Rainfall Distribution Coef.'!E$25-'Rainfall Distribution Coef.'!E$24)*(($E160-'Rainfall Distribution Coef.'!$B$24)/('Rainfall Distribution Coef.'!$B$25-'Rainfall Distribution Coef.'!$B$24)),IF(AND($E160&gt;'Rainfall Distribution Coef.'!$B$25,$E160&lt;'Rainfall Distribution Coef.'!$B$26),'Rainfall Distribution Coef.'!E$25+('Rainfall Distribution Coef.'!E$26-'Rainfall Distribution Coef.'!E$25)*(($E160-'Rainfall Distribution Coef.'!$B$25)/('Rainfall Distribution Coef.'!$B$26-'Rainfall Distribution Coef.'!$B$25)),IF(AND($E160&gt;'Rainfall Distribution Coef.'!$B$26,$E160&lt;'Rainfall Distribution Coef.'!$B$27),'Rainfall Distribution Coef.'!E$26+('Rainfall Distribution Coef.'!E$27-'Rainfall Distribution Coef.'!E$26)*(($E160-'Rainfall Distribution Coef.'!$B$26)/('Rainfall Distribution Coef.'!$B$27-'Rainfall Distribution Coef.'!$B$26)), IF($E160='Rainfall Distribution Coef.'!$B$27,'Rainfall Distribution Coef.'!E$27,0))))))))</f>
        <v>-0.16403000000000001</v>
      </c>
      <c r="T160" s="95">
        <f>(IF('Rainfall Distribution Coef.'!$B$29&gt;$E160,'Rainfall Distribution Coef.'!C$29,IF(AND($E160&gt;'Rainfall Distribution Coef.'!$B$29,$E160&lt;'Rainfall Distribution Coef.'!$B$30),'Rainfall Distribution Coef.'!C$29+('Rainfall Distribution Coef.'!C$30-'Rainfall Distribution Coef.'!C$29)*(($E160-'Rainfall Distribution Coef.'!$B$29)/('Rainfall Distribution Coef.'!$B$30-'Rainfall Distribution Coef.'!$B$29)),IF(AND($E160&gt;'Rainfall Distribution Coef.'!$B$30,$E160&lt;'Rainfall Distribution Coef.'!$B$31),'Rainfall Distribution Coef.'!C$30+('Rainfall Distribution Coef.'!C$31-'Rainfall Distribution Coef.'!C$30)*(($E160-'Rainfall Distribution Coef.'!$B$30)/('Rainfall Distribution Coef.'!$B$31-'Rainfall Distribution Coef.'!$B$30)),IF(AND($E160&gt;'Rainfall Distribution Coef.'!$B$31,$E160&lt;'Rainfall Distribution Coef.'!$B$32),'Rainfall Distribution Coef.'!C$31+('Rainfall Distribution Coef.'!C$32-'Rainfall Distribution Coef.'!C$31)*(($E160-'Rainfall Distribution Coef.'!$B$31)/('Rainfall Distribution Coef.'!$B$32-'Rainfall Distribution Coef.'!$B$31)),IF(AND($E160&gt;'Rainfall Distribution Coef.'!$B$32,$E160&lt;'Rainfall Distribution Coef.'!$B$33),'Rainfall Distribution Coef.'!C$32+('Rainfall Distribution Coef.'!C$33-'Rainfall Distribution Coef.'!C$32)*(($E160-'Rainfall Distribution Coef.'!$B$32)/('Rainfall Distribution Coef.'!$B$33-'Rainfall Distribution Coef.'!$B$32)),IF(AND($E160&gt;'Rainfall Distribution Coef.'!$B$33,$E160&lt;'Rainfall Distribution Coef.'!$B$34),'Rainfall Distribution Coef.'!C$33+('Rainfall Distribution Coef.'!C$34-'Rainfall Distribution Coef.'!C$33)*(($E160-'Rainfall Distribution Coef.'!$B$33)/('Rainfall Distribution Coef.'!$B$34-'Rainfall Distribution Coef.'!$B$33)), IF($E160='Rainfall Distribution Coef.'!$B$34,'Rainfall Distribution Coef.'!C$34,0))))))))</f>
        <v>2.4731700000000001</v>
      </c>
      <c r="U160" s="95">
        <f>(IF('Rainfall Distribution Coef.'!$B$29&gt;$E160,'Rainfall Distribution Coef.'!D$29,IF(AND($E160&gt;'Rainfall Distribution Coef.'!$B$29,$E160&lt;'Rainfall Distribution Coef.'!$B$30),'Rainfall Distribution Coef.'!D$29+('Rainfall Distribution Coef.'!D$30-'Rainfall Distribution Coef.'!D$29)*(($E160-'Rainfall Distribution Coef.'!$B$29)/('Rainfall Distribution Coef.'!$B$30-'Rainfall Distribution Coef.'!$B$29)),IF(AND($E160&gt;'Rainfall Distribution Coef.'!$B$30,$E160&lt;'Rainfall Distribution Coef.'!$B$31),'Rainfall Distribution Coef.'!D$30+('Rainfall Distribution Coef.'!D$31-'Rainfall Distribution Coef.'!D$30)*(($E160-'Rainfall Distribution Coef.'!$B$30)/('Rainfall Distribution Coef.'!$B$31-'Rainfall Distribution Coef.'!$B$30)),IF(AND($E160&gt;'Rainfall Distribution Coef.'!$B$31,$E160&lt;'Rainfall Distribution Coef.'!$B$32),'Rainfall Distribution Coef.'!D$31+('Rainfall Distribution Coef.'!D$32-'Rainfall Distribution Coef.'!D$31)*(($E160-'Rainfall Distribution Coef.'!$B$31)/('Rainfall Distribution Coef.'!$B$32-'Rainfall Distribution Coef.'!$B$31)),IF(AND($E160&gt;'Rainfall Distribution Coef.'!$B$32,$E160&lt;'Rainfall Distribution Coef.'!$B$33),'Rainfall Distribution Coef.'!D$32+('Rainfall Distribution Coef.'!D$33-'Rainfall Distribution Coef.'!D$32)*(($E160-'Rainfall Distribution Coef.'!$B$32)/('Rainfall Distribution Coef.'!$B$33-'Rainfall Distribution Coef.'!$B$32)),IF(AND($E160&gt;'Rainfall Distribution Coef.'!$B$33,$E160&lt;'Rainfall Distribution Coef.'!$B$34),'Rainfall Distribution Coef.'!D$33+('Rainfall Distribution Coef.'!D$34-'Rainfall Distribution Coef.'!D$33)*(($E160-'Rainfall Distribution Coef.'!$B$33)/('Rainfall Distribution Coef.'!$B$34-'Rainfall Distribution Coef.'!$B$33)), IF($E160='Rainfall Distribution Coef.'!$B$34,'Rainfall Distribution Coef.'!D$34,0))))))))</f>
        <v>-0.51848000000000005</v>
      </c>
      <c r="V160" s="95">
        <f>(IF('Rainfall Distribution Coef.'!$B$29&gt;$E160,'Rainfall Distribution Coef.'!E$29,IF(AND($E160&gt;'Rainfall Distribution Coef.'!$B$29,$E160&lt;'Rainfall Distribution Coef.'!$B$30),'Rainfall Distribution Coef.'!E$29+('Rainfall Distribution Coef.'!E$30-'Rainfall Distribution Coef.'!E$29)*(($E160-'Rainfall Distribution Coef.'!$B$29)/('Rainfall Distribution Coef.'!$B$30-'Rainfall Distribution Coef.'!$B$29)),IF(AND($E160&gt;'Rainfall Distribution Coef.'!$B$30,$E160&lt;'Rainfall Distribution Coef.'!$B$31),'Rainfall Distribution Coef.'!E$30+('Rainfall Distribution Coef.'!E$31-'Rainfall Distribution Coef.'!E$30)*(($E160-'Rainfall Distribution Coef.'!$B$30)/('Rainfall Distribution Coef.'!$B$31-'Rainfall Distribution Coef.'!$B$30)),IF(AND($E160&gt;'Rainfall Distribution Coef.'!$B$31,$E160&lt;'Rainfall Distribution Coef.'!$B$32),'Rainfall Distribution Coef.'!E$31+('Rainfall Distribution Coef.'!E$32-'Rainfall Distribution Coef.'!E$31)*(($E160-'Rainfall Distribution Coef.'!$B$31)/('Rainfall Distribution Coef.'!$B$32-'Rainfall Distribution Coef.'!$B$31)),IF(AND($E160&gt;'Rainfall Distribution Coef.'!$B$32,$E160&lt;'Rainfall Distribution Coef.'!$B$33),'Rainfall Distribution Coef.'!E$32+('Rainfall Distribution Coef.'!E$33-'Rainfall Distribution Coef.'!E$32)*(($E160-'Rainfall Distribution Coef.'!$B$32)/('Rainfall Distribution Coef.'!$B$33-'Rainfall Distribution Coef.'!$B$32)),IF(AND($E160&gt;'Rainfall Distribution Coef.'!$B$33,$E160&lt;'Rainfall Distribution Coef.'!$B$34),'Rainfall Distribution Coef.'!E$33+('Rainfall Distribution Coef.'!E$34-'Rainfall Distribution Coef.'!E$33)*(($E160-'Rainfall Distribution Coef.'!$B$33)/('Rainfall Distribution Coef.'!$B$34-'Rainfall Distribution Coef.'!$B$33)), IF($E160='Rainfall Distribution Coef.'!$B$34,'Rainfall Distribution Coef.'!E$34,0))))))))</f>
        <v>-0.17083000000000001</v>
      </c>
    </row>
    <row r="161" spans="1:22" ht="12.75" x14ac:dyDescent="0.2">
      <c r="B161" s="90">
        <v>100</v>
      </c>
      <c r="C161" s="86">
        <f>F130</f>
        <v>8.3000000000000007</v>
      </c>
      <c r="D161" s="86">
        <f>$E$136</f>
        <v>0.71447100240874561</v>
      </c>
      <c r="E161" s="86">
        <f>IF(D161/C161&gt;0.5,0.5,D161/C161)</f>
        <v>8.608084366370429E-2</v>
      </c>
      <c r="F161" s="91">
        <f>IF($A$63='Rainfall Distribution Coef.'!$K$2,10^(K161+(L161*LOG($E$119))+(M161*(LOG($E$119))^2)),IF($A$63='Rainfall Distribution Coef.'!$K$3,10^(N161+(O161*LOG($E$119))+(P161*(LOG($E$119))^2)),IF($A$63='Rainfall Distribution Coef.'!$K$4,10^(Q161+(R161*LOG($E$119))+(S161*(LOG($E$119))^2)),IF($A$63='Rainfall Distribution Coef.'!$K$5,10^(T161+(U161*LOG($E$119))+(V161*(LOG($E$119))^2)),"UPDATE"))))</f>
        <v>403.64872606303015</v>
      </c>
      <c r="G161" s="75" t="s">
        <v>89</v>
      </c>
      <c r="H161" s="82"/>
      <c r="K161" s="94">
        <f>(IF('Rainfall Distribution Coef.'!$B$7&gt;$E161,'Rainfall Distribution Coef.'!C$7,IF(AND($E161&gt;'Rainfall Distribution Coef.'!$B$7,$E161&lt;'Rainfall Distribution Coef.'!$B$8),'Rainfall Distribution Coef.'!C$7+('Rainfall Distribution Coef.'!C$8-'Rainfall Distribution Coef.'!C$7)*(($E161-'Rainfall Distribution Coef.'!$B$7)/('Rainfall Distribution Coef.'!$B$8-'Rainfall Distribution Coef.'!$B$7)),IF(AND($E161&gt;'Rainfall Distribution Coef.'!$B$8,$E161&lt;'Rainfall Distribution Coef.'!$B$9),'Rainfall Distribution Coef.'!C$8+('Rainfall Distribution Coef.'!C$9-'Rainfall Distribution Coef.'!C$8)*(($E161-'Rainfall Distribution Coef.'!$B$8)/('Rainfall Distribution Coef.'!$B$9-'Rainfall Distribution Coef.'!$B$8)),IF(AND($E161&gt;'Rainfall Distribution Coef.'!$B$9,$E161&lt;'Rainfall Distribution Coef.'!$B$10),'Rainfall Distribution Coef.'!C$9+('Rainfall Distribution Coef.'!C$10-'Rainfall Distribution Coef.'!C$9)*(($E161-'Rainfall Distribution Coef.'!$B$9)/('Rainfall Distribution Coef.'!$B$10-'Rainfall Distribution Coef.'!$B$9)),IF(AND($E161&gt;'Rainfall Distribution Coef.'!$B$10,$E161&lt;'Rainfall Distribution Coef.'!$B$11),'Rainfall Distribution Coef.'!C$10+('Rainfall Distribution Coef.'!C$11-'Rainfall Distribution Coef.'!C$10)*(($E161-'Rainfall Distribution Coef.'!$B$10)/('Rainfall Distribution Coef.'!$B$11-'Rainfall Distribution Coef.'!$B$10)),IF(AND($E161&gt;'Rainfall Distribution Coef.'!$B$11,$E161&lt;'Rainfall Distribution Coef.'!$B$12),'Rainfall Distribution Coef.'!C$11+('Rainfall Distribution Coef.'!C$12-'Rainfall Distribution Coef.'!C$11)*(($E161-'Rainfall Distribution Coef.'!$B$11)/('Rainfall Distribution Coef.'!$B$12-'Rainfall Distribution Coef.'!$B$11)),IF(AND($E161&gt;'Rainfall Distribution Coef.'!$B$12,$E161&lt;'Rainfall Distribution Coef.'!$B$13),'Rainfall Distribution Coef.'!C$12+('Rainfall Distribution Coef.'!C$13-'Rainfall Distribution Coef.'!C$12)*(($E161-'Rainfall Distribution Coef.'!$B$12)/('Rainfall Distribution Coef.'!$B$13-'Rainfall Distribution Coef.'!$B$12)),0))))))))+IF(AND($E161&gt;'Rainfall Distribution Coef.'!$B$13,$E161&lt;'Rainfall Distribution Coef.'!$B$14),'Rainfall Distribution Coef.'!C$13+('Rainfall Distribution Coef.'!C$14-'Rainfall Distribution Coef.'!C$13)*(($E161-'Rainfall Distribution Coef.'!$B$13)/('Rainfall Distribution Coef.'!$B$14-'Rainfall Distribution Coef.'!$B$13)),IF($E161='Rainfall Distribution Coef.'!$B$14,'Rainfall Distribution Coef.'!C$14,0))</f>
        <v>2.3054999999999999</v>
      </c>
      <c r="L161" s="94">
        <f>(IF('Rainfall Distribution Coef.'!$B$7&gt;$E161,'Rainfall Distribution Coef.'!D$7,IF(AND($E161&gt;'Rainfall Distribution Coef.'!$B$7,$E161&lt;'Rainfall Distribution Coef.'!$B$8),'Rainfall Distribution Coef.'!D$7+('Rainfall Distribution Coef.'!D$8-'Rainfall Distribution Coef.'!D$7)*(($E161-'Rainfall Distribution Coef.'!$B$7)/('Rainfall Distribution Coef.'!$B$8-'Rainfall Distribution Coef.'!$B$7)),IF(AND($E161&gt;'Rainfall Distribution Coef.'!$B$8,$E161&lt;'Rainfall Distribution Coef.'!$B$9),'Rainfall Distribution Coef.'!D$8+('Rainfall Distribution Coef.'!D$9-'Rainfall Distribution Coef.'!D$8)*(($E161-'Rainfall Distribution Coef.'!$B$8)/('Rainfall Distribution Coef.'!$B$9-'Rainfall Distribution Coef.'!$B$8)),IF(AND($E161&gt;'Rainfall Distribution Coef.'!$B$9,$E161&lt;'Rainfall Distribution Coef.'!$B$10),'Rainfall Distribution Coef.'!D$9+('Rainfall Distribution Coef.'!D$10-'Rainfall Distribution Coef.'!D$9)*(($E161-'Rainfall Distribution Coef.'!$B$9)/('Rainfall Distribution Coef.'!$B$10-'Rainfall Distribution Coef.'!$B$9)),IF(AND($E161&gt;'Rainfall Distribution Coef.'!$B$10,$E161&lt;'Rainfall Distribution Coef.'!$B$11),'Rainfall Distribution Coef.'!D$10+('Rainfall Distribution Coef.'!D$11-'Rainfall Distribution Coef.'!D$10)*(($E161-'Rainfall Distribution Coef.'!$B$10)/('Rainfall Distribution Coef.'!$B$11-'Rainfall Distribution Coef.'!$B$10)),IF(AND($E161&gt;'Rainfall Distribution Coef.'!$B$11,$E161&lt;'Rainfall Distribution Coef.'!$B$12),'Rainfall Distribution Coef.'!D$11+('Rainfall Distribution Coef.'!D$12-'Rainfall Distribution Coef.'!D$11)*(($E161-'Rainfall Distribution Coef.'!$B$11)/('Rainfall Distribution Coef.'!$B$12-'Rainfall Distribution Coef.'!$B$11)),IF(AND($E161&gt;'Rainfall Distribution Coef.'!$B$12,$E161&lt;'Rainfall Distribution Coef.'!$B$13),'Rainfall Distribution Coef.'!D$12+('Rainfall Distribution Coef.'!D$13-'Rainfall Distribution Coef.'!D$12)*(($E161-'Rainfall Distribution Coef.'!$B$12)/('Rainfall Distribution Coef.'!$B$13-'Rainfall Distribution Coef.'!$B$12)),0))))))))+IF(AND($E161&gt;'Rainfall Distribution Coef.'!$B$13,$E161&lt;'Rainfall Distribution Coef.'!$B$14),'Rainfall Distribution Coef.'!D$13+('Rainfall Distribution Coef.'!D$14-'Rainfall Distribution Coef.'!D$13)*(($E161-'Rainfall Distribution Coef.'!$B$13)/('Rainfall Distribution Coef.'!$B$14-'Rainfall Distribution Coef.'!$B$13)),IF($E161='Rainfall Distribution Coef.'!$B$14,'Rainfall Distribution Coef.'!D$14,0))</f>
        <v>-0.51429000000000002</v>
      </c>
      <c r="M161" s="94">
        <f>(IF('Rainfall Distribution Coef.'!$B$7&gt;$E161,'Rainfall Distribution Coef.'!E$7,IF(AND($E161&gt;'Rainfall Distribution Coef.'!$B$7,$E161&lt;'Rainfall Distribution Coef.'!$B$8),'Rainfall Distribution Coef.'!E$7+('Rainfall Distribution Coef.'!E$8-'Rainfall Distribution Coef.'!E$7)*(($E161-'Rainfall Distribution Coef.'!$B$7)/('Rainfall Distribution Coef.'!$B$8-'Rainfall Distribution Coef.'!$B$7)),IF(AND($E161&gt;'Rainfall Distribution Coef.'!$B$8,$E161&lt;'Rainfall Distribution Coef.'!$B$9),'Rainfall Distribution Coef.'!E$8+('Rainfall Distribution Coef.'!E$9-'Rainfall Distribution Coef.'!E$8)*(($E161-'Rainfall Distribution Coef.'!$B$8)/('Rainfall Distribution Coef.'!$B$9-'Rainfall Distribution Coef.'!$B$8)),IF(AND($E161&gt;'Rainfall Distribution Coef.'!$B$9,$E161&lt;'Rainfall Distribution Coef.'!$B$10),'Rainfall Distribution Coef.'!E$9+('Rainfall Distribution Coef.'!E$10-'Rainfall Distribution Coef.'!E$9)*(($E161-'Rainfall Distribution Coef.'!$B$9)/('Rainfall Distribution Coef.'!$B$10-'Rainfall Distribution Coef.'!$B$9)),IF(AND($E161&gt;'Rainfall Distribution Coef.'!$B$10,$E161&lt;'Rainfall Distribution Coef.'!$B$11),'Rainfall Distribution Coef.'!E$10+('Rainfall Distribution Coef.'!E$11-'Rainfall Distribution Coef.'!E$10)*(($E161-'Rainfall Distribution Coef.'!$B$10)/('Rainfall Distribution Coef.'!$B$11-'Rainfall Distribution Coef.'!$B$10)),IF(AND($E161&gt;'Rainfall Distribution Coef.'!$B$11,$E161&lt;'Rainfall Distribution Coef.'!$B$12),'Rainfall Distribution Coef.'!E$11+('Rainfall Distribution Coef.'!E$12-'Rainfall Distribution Coef.'!E$11)*(($E161-'Rainfall Distribution Coef.'!$B$11)/('Rainfall Distribution Coef.'!$B$12-'Rainfall Distribution Coef.'!$B$11)),IF(AND($E161&gt;'Rainfall Distribution Coef.'!$B$12,$E161&lt;'Rainfall Distribution Coef.'!$B$13),'Rainfall Distribution Coef.'!E$12+('Rainfall Distribution Coef.'!E$13-'Rainfall Distribution Coef.'!E$12)*(($E161-'Rainfall Distribution Coef.'!$B$12)/('Rainfall Distribution Coef.'!$B$13-'Rainfall Distribution Coef.'!$B$12)),0))))))))+IF(AND($E161&gt;'Rainfall Distribution Coef.'!$B$13,$E161&lt;'Rainfall Distribution Coef.'!$B$14),'Rainfall Distribution Coef.'!E$13+('Rainfall Distribution Coef.'!E$14-'Rainfall Distribution Coef.'!E$13)*(($E161-'Rainfall Distribution Coef.'!$B$13)/('Rainfall Distribution Coef.'!$B$14-'Rainfall Distribution Coef.'!$B$13)),IF($E161='Rainfall Distribution Coef.'!$B$14,'Rainfall Distribution Coef.'!E$14,0))</f>
        <v>-0.11749999999999999</v>
      </c>
      <c r="N161" s="94">
        <f>(IF('Rainfall Distribution Coef.'!$B$16&gt;$E161,'Rainfall Distribution Coef.'!C$16,IF(AND($E161&gt;'Rainfall Distribution Coef.'!$B$16,$E161&lt;'Rainfall Distribution Coef.'!$B$17),'Rainfall Distribution Coef.'!C$16+('Rainfall Distribution Coef.'!C$17-'Rainfall Distribution Coef.'!C$16)*(($E161-'Rainfall Distribution Coef.'!$B$16)/('Rainfall Distribution Coef.'!$B$17-'Rainfall Distribution Coef.'!$B$16)),IF(AND($E161&gt;'Rainfall Distribution Coef.'!$B$17,$E161&lt;'Rainfall Distribution Coef.'!$B$18),'Rainfall Distribution Coef.'!C$17+('Rainfall Distribution Coef.'!C$18-'Rainfall Distribution Coef.'!C$17)*(($E161-'Rainfall Distribution Coef.'!$B$17)/('Rainfall Distribution Coef.'!$B$18-'Rainfall Distribution Coef.'!$B$17)),IF(AND($E161&gt;'Rainfall Distribution Coef.'!$B$18,$E161&lt;'Rainfall Distribution Coef.'!$B$19),'Rainfall Distribution Coef.'!C$18+('Rainfall Distribution Coef.'!C$19-'Rainfall Distribution Coef.'!C$18)*(($E161-'Rainfall Distribution Coef.'!$B$18)/('Rainfall Distribution Coef.'!$B$19-'Rainfall Distribution Coef.'!$B$18)),IF(AND($E161&gt;'Rainfall Distribution Coef.'!$B$19,$E161&lt;'Rainfall Distribution Coef.'!$B$20),'Rainfall Distribution Coef.'!C$19+('Rainfall Distribution Coef.'!C$20-'Rainfall Distribution Coef.'!C$19)*(($E161-'Rainfall Distribution Coef.'!$B$19)/('Rainfall Distribution Coef.'!$B$20-'Rainfall Distribution Coef.'!$B$19)),IF($E161='Rainfall Distribution Coef.'!$B$20,'Rainfall Distribution Coef.'!C$20,0)))))))</f>
        <v>2.0325000000000002</v>
      </c>
      <c r="O161" s="94">
        <f>(IF('Rainfall Distribution Coef.'!$B$16&gt;$E161,'Rainfall Distribution Coef.'!D$16,IF(AND($E161&gt;'Rainfall Distribution Coef.'!$B$16,$E161&lt;'Rainfall Distribution Coef.'!$B$17),'Rainfall Distribution Coef.'!D$16+('Rainfall Distribution Coef.'!D$17-'Rainfall Distribution Coef.'!D$16)*(($E161-'Rainfall Distribution Coef.'!$B$16)/('Rainfall Distribution Coef.'!$B$17-'Rainfall Distribution Coef.'!$B$16)),IF(AND($E161&gt;'Rainfall Distribution Coef.'!$B$17,$E161&lt;'Rainfall Distribution Coef.'!$B$18),'Rainfall Distribution Coef.'!D$17+('Rainfall Distribution Coef.'!D$18-'Rainfall Distribution Coef.'!D$17)*(($E161-'Rainfall Distribution Coef.'!$B$17)/('Rainfall Distribution Coef.'!$B$18-'Rainfall Distribution Coef.'!$B$17)),IF(AND($E161&gt;'Rainfall Distribution Coef.'!$B$18,$E161&lt;'Rainfall Distribution Coef.'!$B$19),'Rainfall Distribution Coef.'!D$18+('Rainfall Distribution Coef.'!D$19-'Rainfall Distribution Coef.'!D$18)*(($E161-'Rainfall Distribution Coef.'!$B$18)/('Rainfall Distribution Coef.'!$B$19-'Rainfall Distribution Coef.'!$B$18)),IF(AND($E161&gt;'Rainfall Distribution Coef.'!$B$19,$E161&lt;'Rainfall Distribution Coef.'!$B$20),'Rainfall Distribution Coef.'!D$19+('Rainfall Distribution Coef.'!D$20-'Rainfall Distribution Coef.'!D$19)*(($E161-'Rainfall Distribution Coef.'!$B$19)/('Rainfall Distribution Coef.'!$B$20-'Rainfall Distribution Coef.'!$B$19)),IF($E161='Rainfall Distribution Coef.'!$B$20,'Rainfall Distribution Coef.'!D$20,0)))))))</f>
        <v>-0.31583</v>
      </c>
      <c r="P161" s="94">
        <f>(IF('Rainfall Distribution Coef.'!$B$16&gt;$E161,'Rainfall Distribution Coef.'!E$16,IF(AND($E161&gt;'Rainfall Distribution Coef.'!$B$16,$E161&lt;'Rainfall Distribution Coef.'!$B$17),'Rainfall Distribution Coef.'!E$16+('Rainfall Distribution Coef.'!E$17-'Rainfall Distribution Coef.'!E$16)*(($E161-'Rainfall Distribution Coef.'!$B$16)/('Rainfall Distribution Coef.'!$B$17-'Rainfall Distribution Coef.'!$B$16)),IF(AND($E161&gt;'Rainfall Distribution Coef.'!$B$17,$E161&lt;'Rainfall Distribution Coef.'!$B$18),'Rainfall Distribution Coef.'!E$17+('Rainfall Distribution Coef.'!E$18-'Rainfall Distribution Coef.'!E$17)*(($E161-'Rainfall Distribution Coef.'!$B$17)/('Rainfall Distribution Coef.'!$B$18-'Rainfall Distribution Coef.'!$B$17)),IF(AND($E161&gt;'Rainfall Distribution Coef.'!$B$18,$E161&lt;'Rainfall Distribution Coef.'!$B$19),'Rainfall Distribution Coef.'!E$18+('Rainfall Distribution Coef.'!E$19-'Rainfall Distribution Coef.'!E$18)*(($E161-'Rainfall Distribution Coef.'!$B$18)/('Rainfall Distribution Coef.'!$B$19-'Rainfall Distribution Coef.'!$B$18)),IF(AND($E161&gt;'Rainfall Distribution Coef.'!$B$19,$E161&lt;'Rainfall Distribution Coef.'!$B$20),'Rainfall Distribution Coef.'!E$19+('Rainfall Distribution Coef.'!E$20-'Rainfall Distribution Coef.'!E$19)*(($E161-'Rainfall Distribution Coef.'!$B$19)/('Rainfall Distribution Coef.'!$B$20-'Rainfall Distribution Coef.'!$B$19)),IF($E161='Rainfall Distribution Coef.'!$B$20,'Rainfall Distribution Coef.'!E$20,0)))))))</f>
        <v>-0.13747999999999999</v>
      </c>
      <c r="Q161" s="95">
        <f>(IF('Rainfall Distribution Coef.'!$B$22&gt;$E161,'Rainfall Distribution Coef.'!C$22,IF(AND($E161&gt;'Rainfall Distribution Coef.'!$B$22,$E161&lt;'Rainfall Distribution Coef.'!$B$23),'Rainfall Distribution Coef.'!C$22+('Rainfall Distribution Coef.'!C$23-'Rainfall Distribution Coef.'!C$22)*(($E161-'Rainfall Distribution Coef.'!$B$22)/('Rainfall Distribution Coef.'!$B$23-'Rainfall Distribution Coef.'!$B$22)),IF(AND($E161&gt;'Rainfall Distribution Coef.'!$B$23,$E161&lt;'Rainfall Distribution Coef.'!$B$24),'Rainfall Distribution Coef.'!C$23+('Rainfall Distribution Coef.'!C$24-'Rainfall Distribution Coef.'!C$23)*(($E161-'Rainfall Distribution Coef.'!$B$23)/('Rainfall Distribution Coef.'!$B$24-'Rainfall Distribution Coef.'!$B$23)),IF(AND($E161&gt;'Rainfall Distribution Coef.'!$B$24,$E161&lt;'Rainfall Distribution Coef.'!$B$25),'Rainfall Distribution Coef.'!C$24+('Rainfall Distribution Coef.'!C$25-'Rainfall Distribution Coef.'!C$24)*(($E161-'Rainfall Distribution Coef.'!$B$24)/('Rainfall Distribution Coef.'!$B$25-'Rainfall Distribution Coef.'!$B$24)),IF(AND($E161&gt;'Rainfall Distribution Coef.'!$B$25,$E161&lt;'Rainfall Distribution Coef.'!$B$26),'Rainfall Distribution Coef.'!C$25+('Rainfall Distribution Coef.'!C$26-'Rainfall Distribution Coef.'!C$25)*(($E161-'Rainfall Distribution Coef.'!$B$25)/('Rainfall Distribution Coef.'!$B$26-'Rainfall Distribution Coef.'!$B$25)),IF(AND($E161&gt;'Rainfall Distribution Coef.'!$B$26,$E161&lt;'Rainfall Distribution Coef.'!$B$27),'Rainfall Distribution Coef.'!C$26+('Rainfall Distribution Coef.'!C$27-'Rainfall Distribution Coef.'!C$26)*(($E161-'Rainfall Distribution Coef.'!$B$26)/('Rainfall Distribution Coef.'!$B$27-'Rainfall Distribution Coef.'!$B$26)), IF($E161='Rainfall Distribution Coef.'!$B$27,'Rainfall Distribution Coef.'!C$27,0))))))))</f>
        <v>2.5532300000000001</v>
      </c>
      <c r="R161" s="95">
        <f>(IF('Rainfall Distribution Coef.'!$B$22&gt;$E161,'Rainfall Distribution Coef.'!D$22,IF(AND($E161&gt;'Rainfall Distribution Coef.'!$B$22,$E161&lt;'Rainfall Distribution Coef.'!$B$23),'Rainfall Distribution Coef.'!D$22+('Rainfall Distribution Coef.'!D$23-'Rainfall Distribution Coef.'!D$22)*(($E161-'Rainfall Distribution Coef.'!$B$22)/('Rainfall Distribution Coef.'!$B$23-'Rainfall Distribution Coef.'!$B$22)),IF(AND($E161&gt;'Rainfall Distribution Coef.'!$B$23,$E161&lt;'Rainfall Distribution Coef.'!$B$24),'Rainfall Distribution Coef.'!D$23+('Rainfall Distribution Coef.'!D$24-'Rainfall Distribution Coef.'!D$23)*(($E161-'Rainfall Distribution Coef.'!$B$23)/('Rainfall Distribution Coef.'!$B$24-'Rainfall Distribution Coef.'!$B$23)),IF(AND($E161&gt;'Rainfall Distribution Coef.'!$B$24,$E161&lt;'Rainfall Distribution Coef.'!$B$25),'Rainfall Distribution Coef.'!D$24+('Rainfall Distribution Coef.'!D$25-'Rainfall Distribution Coef.'!D$24)*(($E161-'Rainfall Distribution Coef.'!$B$24)/('Rainfall Distribution Coef.'!$B$25-'Rainfall Distribution Coef.'!$B$24)),IF(AND($E161&gt;'Rainfall Distribution Coef.'!$B$25,$E161&lt;'Rainfall Distribution Coef.'!$B$26),'Rainfall Distribution Coef.'!D$25+('Rainfall Distribution Coef.'!D$26-'Rainfall Distribution Coef.'!D$25)*(($E161-'Rainfall Distribution Coef.'!$B$25)/('Rainfall Distribution Coef.'!$B$26-'Rainfall Distribution Coef.'!$B$25)),IF(AND($E161&gt;'Rainfall Distribution Coef.'!$B$26,$E161&lt;'Rainfall Distribution Coef.'!$B$27),'Rainfall Distribution Coef.'!D$26+('Rainfall Distribution Coef.'!D$27-'Rainfall Distribution Coef.'!D$26)*(($E161-'Rainfall Distribution Coef.'!$B$26)/('Rainfall Distribution Coef.'!$B$27-'Rainfall Distribution Coef.'!$B$26)), IF($E161='Rainfall Distribution Coef.'!$B$27,'Rainfall Distribution Coef.'!D$27,0))))))))</f>
        <v>-0.61512</v>
      </c>
      <c r="S161" s="95">
        <f>(IF('Rainfall Distribution Coef.'!$B$22&gt;$E161,'Rainfall Distribution Coef.'!E$22,IF(AND($E161&gt;'Rainfall Distribution Coef.'!$B$22,$E161&lt;'Rainfall Distribution Coef.'!$B$23),'Rainfall Distribution Coef.'!E$22+('Rainfall Distribution Coef.'!E$23-'Rainfall Distribution Coef.'!E$22)*(($E161-'Rainfall Distribution Coef.'!$B$22)/('Rainfall Distribution Coef.'!$B$23-'Rainfall Distribution Coef.'!$B$22)),IF(AND($E161&gt;'Rainfall Distribution Coef.'!$B$23,$E161&lt;'Rainfall Distribution Coef.'!$B$24),'Rainfall Distribution Coef.'!E$23+('Rainfall Distribution Coef.'!E$24-'Rainfall Distribution Coef.'!E$23)*(($E161-'Rainfall Distribution Coef.'!$B$23)/('Rainfall Distribution Coef.'!$B$24-'Rainfall Distribution Coef.'!$B$23)),IF(AND($E161&gt;'Rainfall Distribution Coef.'!$B$24,$E161&lt;'Rainfall Distribution Coef.'!$B$25),'Rainfall Distribution Coef.'!E$24+('Rainfall Distribution Coef.'!E$25-'Rainfall Distribution Coef.'!E$24)*(($E161-'Rainfall Distribution Coef.'!$B$24)/('Rainfall Distribution Coef.'!$B$25-'Rainfall Distribution Coef.'!$B$24)),IF(AND($E161&gt;'Rainfall Distribution Coef.'!$B$25,$E161&lt;'Rainfall Distribution Coef.'!$B$26),'Rainfall Distribution Coef.'!E$25+('Rainfall Distribution Coef.'!E$26-'Rainfall Distribution Coef.'!E$25)*(($E161-'Rainfall Distribution Coef.'!$B$25)/('Rainfall Distribution Coef.'!$B$26-'Rainfall Distribution Coef.'!$B$25)),IF(AND($E161&gt;'Rainfall Distribution Coef.'!$B$26,$E161&lt;'Rainfall Distribution Coef.'!$B$27),'Rainfall Distribution Coef.'!E$26+('Rainfall Distribution Coef.'!E$27-'Rainfall Distribution Coef.'!E$26)*(($E161-'Rainfall Distribution Coef.'!$B$26)/('Rainfall Distribution Coef.'!$B$27-'Rainfall Distribution Coef.'!$B$26)), IF($E161='Rainfall Distribution Coef.'!$B$27,'Rainfall Distribution Coef.'!E$27,0))))))))</f>
        <v>-0.16403000000000001</v>
      </c>
      <c r="T161" s="95">
        <f>(IF('Rainfall Distribution Coef.'!$B$29&gt;$E161,'Rainfall Distribution Coef.'!C$29,IF(AND($E161&gt;'Rainfall Distribution Coef.'!$B$29,$E161&lt;'Rainfall Distribution Coef.'!$B$30),'Rainfall Distribution Coef.'!C$29+('Rainfall Distribution Coef.'!C$30-'Rainfall Distribution Coef.'!C$29)*(($E161-'Rainfall Distribution Coef.'!$B$29)/('Rainfall Distribution Coef.'!$B$30-'Rainfall Distribution Coef.'!$B$29)),IF(AND($E161&gt;'Rainfall Distribution Coef.'!$B$30,$E161&lt;'Rainfall Distribution Coef.'!$B$31),'Rainfall Distribution Coef.'!C$30+('Rainfall Distribution Coef.'!C$31-'Rainfall Distribution Coef.'!C$30)*(($E161-'Rainfall Distribution Coef.'!$B$30)/('Rainfall Distribution Coef.'!$B$31-'Rainfall Distribution Coef.'!$B$30)),IF(AND($E161&gt;'Rainfall Distribution Coef.'!$B$31,$E161&lt;'Rainfall Distribution Coef.'!$B$32),'Rainfall Distribution Coef.'!C$31+('Rainfall Distribution Coef.'!C$32-'Rainfall Distribution Coef.'!C$31)*(($E161-'Rainfall Distribution Coef.'!$B$31)/('Rainfall Distribution Coef.'!$B$32-'Rainfall Distribution Coef.'!$B$31)),IF(AND($E161&gt;'Rainfall Distribution Coef.'!$B$32,$E161&lt;'Rainfall Distribution Coef.'!$B$33),'Rainfall Distribution Coef.'!C$32+('Rainfall Distribution Coef.'!C$33-'Rainfall Distribution Coef.'!C$32)*(($E161-'Rainfall Distribution Coef.'!$B$32)/('Rainfall Distribution Coef.'!$B$33-'Rainfall Distribution Coef.'!$B$32)),IF(AND($E161&gt;'Rainfall Distribution Coef.'!$B$33,$E161&lt;'Rainfall Distribution Coef.'!$B$34),'Rainfall Distribution Coef.'!C$33+('Rainfall Distribution Coef.'!C$34-'Rainfall Distribution Coef.'!C$33)*(($E161-'Rainfall Distribution Coef.'!$B$33)/('Rainfall Distribution Coef.'!$B$34-'Rainfall Distribution Coef.'!$B$33)), IF($E161='Rainfall Distribution Coef.'!$B$34,'Rainfall Distribution Coef.'!C$34,0))))))))</f>
        <v>2.4731700000000001</v>
      </c>
      <c r="U161" s="95">
        <f>(IF('Rainfall Distribution Coef.'!$B$29&gt;$E161,'Rainfall Distribution Coef.'!D$29,IF(AND($E161&gt;'Rainfall Distribution Coef.'!$B$29,$E161&lt;'Rainfall Distribution Coef.'!$B$30),'Rainfall Distribution Coef.'!D$29+('Rainfall Distribution Coef.'!D$30-'Rainfall Distribution Coef.'!D$29)*(($E161-'Rainfall Distribution Coef.'!$B$29)/('Rainfall Distribution Coef.'!$B$30-'Rainfall Distribution Coef.'!$B$29)),IF(AND($E161&gt;'Rainfall Distribution Coef.'!$B$30,$E161&lt;'Rainfall Distribution Coef.'!$B$31),'Rainfall Distribution Coef.'!D$30+('Rainfall Distribution Coef.'!D$31-'Rainfall Distribution Coef.'!D$30)*(($E161-'Rainfall Distribution Coef.'!$B$30)/('Rainfall Distribution Coef.'!$B$31-'Rainfall Distribution Coef.'!$B$30)),IF(AND($E161&gt;'Rainfall Distribution Coef.'!$B$31,$E161&lt;'Rainfall Distribution Coef.'!$B$32),'Rainfall Distribution Coef.'!D$31+('Rainfall Distribution Coef.'!D$32-'Rainfall Distribution Coef.'!D$31)*(($E161-'Rainfall Distribution Coef.'!$B$31)/('Rainfall Distribution Coef.'!$B$32-'Rainfall Distribution Coef.'!$B$31)),IF(AND($E161&gt;'Rainfall Distribution Coef.'!$B$32,$E161&lt;'Rainfall Distribution Coef.'!$B$33),'Rainfall Distribution Coef.'!D$32+('Rainfall Distribution Coef.'!D$33-'Rainfall Distribution Coef.'!D$32)*(($E161-'Rainfall Distribution Coef.'!$B$32)/('Rainfall Distribution Coef.'!$B$33-'Rainfall Distribution Coef.'!$B$32)),IF(AND($E161&gt;'Rainfall Distribution Coef.'!$B$33,$E161&lt;'Rainfall Distribution Coef.'!$B$34),'Rainfall Distribution Coef.'!D$33+('Rainfall Distribution Coef.'!D$34-'Rainfall Distribution Coef.'!D$33)*(($E161-'Rainfall Distribution Coef.'!$B$33)/('Rainfall Distribution Coef.'!$B$34-'Rainfall Distribution Coef.'!$B$33)), IF($E161='Rainfall Distribution Coef.'!$B$34,'Rainfall Distribution Coef.'!D$34,0))))))))</f>
        <v>-0.51848000000000005</v>
      </c>
      <c r="V161" s="95">
        <f>(IF('Rainfall Distribution Coef.'!$B$29&gt;$E161,'Rainfall Distribution Coef.'!E$29,IF(AND($E161&gt;'Rainfall Distribution Coef.'!$B$29,$E161&lt;'Rainfall Distribution Coef.'!$B$30),'Rainfall Distribution Coef.'!E$29+('Rainfall Distribution Coef.'!E$30-'Rainfall Distribution Coef.'!E$29)*(($E161-'Rainfall Distribution Coef.'!$B$29)/('Rainfall Distribution Coef.'!$B$30-'Rainfall Distribution Coef.'!$B$29)),IF(AND($E161&gt;'Rainfall Distribution Coef.'!$B$30,$E161&lt;'Rainfall Distribution Coef.'!$B$31),'Rainfall Distribution Coef.'!E$30+('Rainfall Distribution Coef.'!E$31-'Rainfall Distribution Coef.'!E$30)*(($E161-'Rainfall Distribution Coef.'!$B$30)/('Rainfall Distribution Coef.'!$B$31-'Rainfall Distribution Coef.'!$B$30)),IF(AND($E161&gt;'Rainfall Distribution Coef.'!$B$31,$E161&lt;'Rainfall Distribution Coef.'!$B$32),'Rainfall Distribution Coef.'!E$31+('Rainfall Distribution Coef.'!E$32-'Rainfall Distribution Coef.'!E$31)*(($E161-'Rainfall Distribution Coef.'!$B$31)/('Rainfall Distribution Coef.'!$B$32-'Rainfall Distribution Coef.'!$B$31)),IF(AND($E161&gt;'Rainfall Distribution Coef.'!$B$32,$E161&lt;'Rainfall Distribution Coef.'!$B$33),'Rainfall Distribution Coef.'!E$32+('Rainfall Distribution Coef.'!E$33-'Rainfall Distribution Coef.'!E$32)*(($E161-'Rainfall Distribution Coef.'!$B$32)/('Rainfall Distribution Coef.'!$B$33-'Rainfall Distribution Coef.'!$B$32)),IF(AND($E161&gt;'Rainfall Distribution Coef.'!$B$33,$E161&lt;'Rainfall Distribution Coef.'!$B$34),'Rainfall Distribution Coef.'!E$33+('Rainfall Distribution Coef.'!E$34-'Rainfall Distribution Coef.'!E$33)*(($E161-'Rainfall Distribution Coef.'!$B$33)/('Rainfall Distribution Coef.'!$B$34-'Rainfall Distribution Coef.'!$B$33)), IF($E161='Rainfall Distribution Coef.'!$B$34,'Rainfall Distribution Coef.'!E$34,0))))))))</f>
        <v>-0.17083000000000001</v>
      </c>
    </row>
    <row r="162" spans="1:22" x14ac:dyDescent="0.2">
      <c r="E162" s="91"/>
    </row>
    <row r="163" spans="1:22" x14ac:dyDescent="0.2">
      <c r="A163" s="83" t="s">
        <v>90</v>
      </c>
      <c r="B163" s="83"/>
      <c r="C163" s="83"/>
    </row>
    <row r="164" spans="1:22" x14ac:dyDescent="0.2">
      <c r="F164" s="77"/>
    </row>
    <row r="165" spans="1:22" ht="13.5" x14ac:dyDescent="0.25">
      <c r="B165" s="113">
        <v>0</v>
      </c>
      <c r="C165" s="75" t="s">
        <v>91</v>
      </c>
      <c r="D165" s="96">
        <f>B165/D98</f>
        <v>0</v>
      </c>
      <c r="E165" s="97" t="s">
        <v>102</v>
      </c>
      <c r="F165" s="114">
        <v>1</v>
      </c>
    </row>
    <row r="167" spans="1:22" ht="12.75" customHeight="1" x14ac:dyDescent="0.25">
      <c r="A167" s="103" t="s">
        <v>103</v>
      </c>
      <c r="B167" s="103"/>
      <c r="C167" s="103"/>
      <c r="D167" s="103"/>
      <c r="E167" s="103"/>
      <c r="F167" s="103"/>
      <c r="G167" s="103"/>
      <c r="H167" s="103"/>
      <c r="I167" s="103"/>
    </row>
    <row r="169" spans="1:22" ht="13.5" x14ac:dyDescent="0.25">
      <c r="B169" s="75" t="s">
        <v>104</v>
      </c>
    </row>
    <row r="170" spans="1:22" x14ac:dyDescent="0.2">
      <c r="C170" s="98"/>
      <c r="D170" s="98"/>
    </row>
    <row r="171" spans="1:22" ht="24.75" x14ac:dyDescent="0.25">
      <c r="B171" s="89" t="s">
        <v>13</v>
      </c>
      <c r="C171" s="90" t="s">
        <v>101</v>
      </c>
      <c r="D171" s="90" t="s">
        <v>105</v>
      </c>
      <c r="E171" s="90" t="s">
        <v>32</v>
      </c>
      <c r="F171" s="90" t="s">
        <v>106</v>
      </c>
      <c r="G171" s="90" t="s">
        <v>107</v>
      </c>
      <c r="H171" s="90"/>
    </row>
    <row r="172" spans="1:22" x14ac:dyDescent="0.2">
      <c r="B172" s="90">
        <v>2</v>
      </c>
      <c r="C172" s="91">
        <f>F157</f>
        <v>365.78527565574774</v>
      </c>
      <c r="D172" s="86">
        <f>$D$98/640</f>
        <v>9.1562500000000012E-3</v>
      </c>
      <c r="E172" s="91">
        <f>F147</f>
        <v>1.2893197808318353</v>
      </c>
      <c r="F172" s="99">
        <f>$F$165</f>
        <v>1</v>
      </c>
      <c r="G172" s="91">
        <f>F172*E172*D172*C172</f>
        <v>4.3182174403723277</v>
      </c>
      <c r="H172" s="82" t="s">
        <v>33</v>
      </c>
    </row>
    <row r="173" spans="1:22" x14ac:dyDescent="0.2">
      <c r="B173" s="90">
        <v>10</v>
      </c>
      <c r="C173" s="91">
        <f>F158</f>
        <v>389.83634175991114</v>
      </c>
      <c r="D173" s="86">
        <f>$D$98/640</f>
        <v>9.1562500000000012E-3</v>
      </c>
      <c r="E173" s="91">
        <f>F148</f>
        <v>2.5775159542494022</v>
      </c>
      <c r="F173" s="99">
        <f>$F$165</f>
        <v>1</v>
      </c>
      <c r="G173" s="91">
        <f>F173*E173*D173*C173</f>
        <v>9.2002859811466031</v>
      </c>
      <c r="H173" s="82" t="s">
        <v>33</v>
      </c>
    </row>
    <row r="174" spans="1:22" x14ac:dyDescent="0.2">
      <c r="B174" s="90">
        <v>25</v>
      </c>
      <c r="C174" s="91">
        <f>F159</f>
        <v>398.97743251213581</v>
      </c>
      <c r="D174" s="86">
        <f>$D$98/640</f>
        <v>9.1562500000000012E-3</v>
      </c>
      <c r="E174" s="91">
        <f>F149</f>
        <v>3.4916445214488623</v>
      </c>
      <c r="F174" s="99">
        <f>$F$165</f>
        <v>1</v>
      </c>
      <c r="G174" s="91">
        <f>F174*E174*D174*C174</f>
        <v>12.75545619871658</v>
      </c>
      <c r="H174" s="82" t="s">
        <v>33</v>
      </c>
    </row>
    <row r="175" spans="1:22" x14ac:dyDescent="0.2">
      <c r="B175" s="90">
        <v>50</v>
      </c>
      <c r="C175" s="91">
        <f>F160</f>
        <v>403.64872606303015</v>
      </c>
      <c r="D175" s="86">
        <f>$D$98/640</f>
        <v>9.1562500000000012E-3</v>
      </c>
      <c r="E175" s="91">
        <f>F150</f>
        <v>4.2695104745219199</v>
      </c>
      <c r="F175" s="99">
        <f>$F$165</f>
        <v>1</v>
      </c>
      <c r="G175" s="91">
        <f>F175*E175*D175*C175</f>
        <v>15.779720685574571</v>
      </c>
      <c r="H175" s="82" t="s">
        <v>33</v>
      </c>
    </row>
    <row r="176" spans="1:22" x14ac:dyDescent="0.2">
      <c r="B176" s="90">
        <v>100</v>
      </c>
      <c r="C176" s="91">
        <f>F161</f>
        <v>403.64872606303015</v>
      </c>
      <c r="D176" s="86">
        <f>$D$98/640</f>
        <v>9.1562500000000012E-3</v>
      </c>
      <c r="E176" s="91">
        <f>F151</f>
        <v>5.1569141715051892</v>
      </c>
      <c r="F176" s="99">
        <f>$F$165</f>
        <v>1</v>
      </c>
      <c r="G176" s="91">
        <f>F176*E176*D176*C176</f>
        <v>19.059483683535181</v>
      </c>
      <c r="H176" s="82" t="s">
        <v>33</v>
      </c>
    </row>
    <row r="177" spans="1:10" x14ac:dyDescent="0.2">
      <c r="B177" s="90"/>
      <c r="C177" s="91"/>
      <c r="D177" s="86"/>
      <c r="E177" s="91"/>
      <c r="F177" s="99"/>
      <c r="G177" s="90"/>
      <c r="H177" s="82"/>
    </row>
    <row r="178" spans="1:10" x14ac:dyDescent="0.2">
      <c r="A178" s="80" t="s">
        <v>27</v>
      </c>
      <c r="B178" s="77"/>
      <c r="C178" s="77"/>
      <c r="D178" s="77"/>
      <c r="E178" s="77"/>
      <c r="F178" s="77"/>
    </row>
    <row r="179" spans="1:10" x14ac:dyDescent="0.2">
      <c r="A179" s="77"/>
      <c r="B179" s="77"/>
      <c r="C179" s="77"/>
      <c r="D179" s="77"/>
      <c r="E179" s="77"/>
      <c r="F179" s="77"/>
    </row>
    <row r="180" spans="1:10" ht="24.75" x14ac:dyDescent="0.25">
      <c r="A180" s="77"/>
      <c r="B180" s="104" t="s">
        <v>13</v>
      </c>
      <c r="C180" s="51" t="s">
        <v>109</v>
      </c>
      <c r="D180" s="51" t="s">
        <v>110</v>
      </c>
      <c r="E180" s="51" t="s">
        <v>111</v>
      </c>
      <c r="F180" s="51" t="s">
        <v>31</v>
      </c>
    </row>
    <row r="181" spans="1:10" x14ac:dyDescent="0.2">
      <c r="A181" s="77"/>
      <c r="B181" s="51">
        <v>2</v>
      </c>
      <c r="C181" s="105">
        <f>G81</f>
        <v>4.0139369449678028</v>
      </c>
      <c r="D181" s="105">
        <f>G172</f>
        <v>4.3182174403723277</v>
      </c>
      <c r="E181" s="79">
        <f>D181-C181</f>
        <v>0.30428049540452484</v>
      </c>
      <c r="F181" s="106">
        <f>E181/D181</f>
        <v>7.0464375545268743E-2</v>
      </c>
    </row>
    <row r="182" spans="1:10" x14ac:dyDescent="0.2">
      <c r="A182" s="77"/>
      <c r="B182" s="51">
        <v>10</v>
      </c>
      <c r="C182" s="105">
        <f>G82</f>
        <v>8.7411862739000163</v>
      </c>
      <c r="D182" s="105">
        <f>G173</f>
        <v>9.2002859811466031</v>
      </c>
      <c r="E182" s="79">
        <f>D182-C182</f>
        <v>0.45909970724658677</v>
      </c>
      <c r="F182" s="106">
        <f>E182/C182</f>
        <v>5.252144192572529E-2</v>
      </c>
    </row>
    <row r="183" spans="1:10" x14ac:dyDescent="0.2">
      <c r="A183" s="77"/>
      <c r="B183" s="175">
        <v>25</v>
      </c>
      <c r="C183" s="105">
        <f>G83</f>
        <v>12.216775779947529</v>
      </c>
      <c r="D183" s="105">
        <f>G174</f>
        <v>12.75545619871658</v>
      </c>
      <c r="E183" s="79">
        <f t="shared" ref="E183:E185" si="0">D183-C183</f>
        <v>0.53868041876905082</v>
      </c>
      <c r="F183" s="106">
        <f t="shared" ref="F183:F185" si="1">E183/C183</f>
        <v>4.4093501302793367E-2</v>
      </c>
    </row>
    <row r="184" spans="1:10" x14ac:dyDescent="0.2">
      <c r="A184" s="77"/>
      <c r="B184" s="175">
        <v>50</v>
      </c>
      <c r="C184" s="105">
        <f>G84</f>
        <v>15.219095161722725</v>
      </c>
      <c r="D184" s="105">
        <f>G175</f>
        <v>15.779720685574571</v>
      </c>
      <c r="E184" s="79">
        <f t="shared" si="0"/>
        <v>0.56062552385184539</v>
      </c>
      <c r="F184" s="106">
        <f t="shared" si="1"/>
        <v>3.6836981298458839E-2</v>
      </c>
    </row>
    <row r="185" spans="1:10" x14ac:dyDescent="0.2">
      <c r="A185" s="77"/>
      <c r="B185" s="51">
        <v>100</v>
      </c>
      <c r="C185" s="105">
        <f>G85</f>
        <v>18.523171010939105</v>
      </c>
      <c r="D185" s="105">
        <f>G176</f>
        <v>19.059483683535181</v>
      </c>
      <c r="E185" s="79">
        <f t="shared" si="0"/>
        <v>0.5363126725960754</v>
      </c>
      <c r="F185" s="106">
        <f t="shared" si="1"/>
        <v>2.8953610171786937E-2</v>
      </c>
    </row>
    <row r="186" spans="1:10" ht="69" customHeight="1" x14ac:dyDescent="0.2">
      <c r="A186" s="182" t="s">
        <v>423</v>
      </c>
      <c r="B186" s="182"/>
      <c r="C186" s="182"/>
      <c r="D186" s="182"/>
      <c r="E186" s="182"/>
      <c r="F186" s="182"/>
      <c r="G186" s="182"/>
      <c r="H186" s="182"/>
      <c r="I186" s="167"/>
      <c r="J186" s="167"/>
    </row>
  </sheetData>
  <sheetProtection formatRows="0"/>
  <dataConsolidate/>
  <mergeCells count="51">
    <mergeCell ref="E106:G106"/>
    <mergeCell ref="W113:AI113"/>
    <mergeCell ref="W106:AI106"/>
    <mergeCell ref="E17:G17"/>
    <mergeCell ref="W14:AI14"/>
    <mergeCell ref="E14:F14"/>
    <mergeCell ref="E16:G16"/>
    <mergeCell ref="E20:G20"/>
    <mergeCell ref="W20:AI20"/>
    <mergeCell ref="Q64:S64"/>
    <mergeCell ref="E107:G107"/>
    <mergeCell ref="W111:AI111"/>
    <mergeCell ref="E105:F105"/>
    <mergeCell ref="W105:AI105"/>
    <mergeCell ref="K64:M64"/>
    <mergeCell ref="T155:V155"/>
    <mergeCell ref="E112:G112"/>
    <mergeCell ref="E108:G108"/>
    <mergeCell ref="E113:G113"/>
    <mergeCell ref="E111:G111"/>
    <mergeCell ref="E110:G110"/>
    <mergeCell ref="A6:H7"/>
    <mergeCell ref="A87:H87"/>
    <mergeCell ref="A94:H94"/>
    <mergeCell ref="E15:G15"/>
    <mergeCell ref="W15:AI15"/>
    <mergeCell ref="E21:G21"/>
    <mergeCell ref="W17:AI17"/>
    <mergeCell ref="W18:AI18"/>
    <mergeCell ref="W19:AI19"/>
    <mergeCell ref="T64:V64"/>
    <mergeCell ref="E22:G22"/>
    <mergeCell ref="W21:AI21"/>
    <mergeCell ref="W22:AI22"/>
    <mergeCell ref="N64:P64"/>
    <mergeCell ref="A186:H186"/>
    <mergeCell ref="E109:G109"/>
    <mergeCell ref="W16:AI16"/>
    <mergeCell ref="W112:AI112"/>
    <mergeCell ref="K155:M155"/>
    <mergeCell ref="N155:P155"/>
    <mergeCell ref="Q155:S155"/>
    <mergeCell ref="B32:D32"/>
    <mergeCell ref="W109:AI109"/>
    <mergeCell ref="W110:AI110"/>
    <mergeCell ref="B123:D123"/>
    <mergeCell ref="E18:G18"/>
    <mergeCell ref="E19:G19"/>
    <mergeCell ref="A76:I76"/>
    <mergeCell ref="W107:AI107"/>
    <mergeCell ref="W108:AI108"/>
  </mergeCells>
  <phoneticPr fontId="0" type="noConversion"/>
  <dataValidations count="4">
    <dataValidation type="list" allowBlank="1" showInputMessage="1" showErrorMessage="1" sqref="A63">
      <formula1>Rainfall2</formula1>
    </dataValidation>
    <dataValidation type="list" allowBlank="1" showInputMessage="1" showErrorMessage="1" sqref="B103 B12">
      <formula1>HSG</formula1>
    </dataValidation>
    <dataValidation type="list" allowBlank="1" showInputMessage="1" showErrorMessage="1" sqref="E106:G113 E15:G22">
      <formula1>Cover1</formula1>
    </dataValidation>
    <dataValidation type="list" allowBlank="1" showInputMessage="1" showErrorMessage="1" sqref="B32">
      <formula1>Counties</formula1>
    </dataValidation>
  </dataValidations>
  <pageMargins left="0.75" right="0.75" top="1" bottom="1" header="0.5" footer="0.5"/>
  <pageSetup scale="98" orientation="portrait" blackAndWhite="1" r:id="rId1"/>
  <headerFooter alignWithMargins="0">
    <oddHeader xml:space="preserve">&amp;CPre vs. Post-Construction Analysis
(SCS Method)&amp;R&amp;D
</oddHeader>
  </headerFooter>
  <rowBreaks count="3" manualBreakCount="3">
    <brk id="45" max="7" man="1"/>
    <brk id="88" max="7" man="1"/>
    <brk id="13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tabSelected="1" view="pageLayout" topLeftCell="A10" zoomScaleNormal="100" workbookViewId="0">
      <selection activeCell="I21" sqref="I21"/>
    </sheetView>
  </sheetViews>
  <sheetFormatPr defaultColWidth="10.28515625" defaultRowHeight="12.75" x14ac:dyDescent="0.2"/>
  <cols>
    <col min="1" max="1" width="13.140625" style="3" customWidth="1"/>
    <col min="2" max="2" width="10.28515625" style="3" customWidth="1"/>
    <col min="3" max="3" width="18.140625" style="3" customWidth="1"/>
    <col min="4" max="4" width="11.140625" style="3" customWidth="1"/>
    <col min="5" max="5" width="9.7109375" style="3" customWidth="1"/>
    <col min="6" max="6" width="11.140625" style="3" customWidth="1"/>
    <col min="7" max="7" width="4.85546875" style="3" customWidth="1"/>
    <col min="8" max="8" width="10.28515625" style="3" customWidth="1"/>
    <col min="9" max="9" width="9.7109375" style="3" customWidth="1"/>
    <col min="10" max="10" width="13.7109375" customWidth="1"/>
    <col min="11" max="11" width="9" customWidth="1"/>
    <col min="12" max="12" width="12.140625" customWidth="1"/>
    <col min="13" max="18" width="10.28515625" customWidth="1"/>
    <col min="19" max="16384" width="10.28515625" style="3"/>
  </cols>
  <sheetData>
    <row r="1" spans="1:7" x14ac:dyDescent="0.2">
      <c r="A1" s="198" t="s">
        <v>413</v>
      </c>
      <c r="B1" s="198"/>
      <c r="C1" s="198"/>
      <c r="D1" s="198"/>
      <c r="E1" s="171" t="s">
        <v>415</v>
      </c>
      <c r="F1" s="3" t="s">
        <v>416</v>
      </c>
    </row>
    <row r="2" spans="1:7" x14ac:dyDescent="0.2">
      <c r="A2" s="1"/>
      <c r="B2" s="1"/>
    </row>
    <row r="3" spans="1:7" x14ac:dyDescent="0.2">
      <c r="A3" s="3" t="s">
        <v>35</v>
      </c>
      <c r="B3" s="168" t="s">
        <v>418</v>
      </c>
      <c r="D3" s="3" t="s">
        <v>36</v>
      </c>
      <c r="E3" s="4"/>
    </row>
    <row r="4" spans="1:7" x14ac:dyDescent="0.2">
      <c r="A4" s="3" t="s">
        <v>37</v>
      </c>
      <c r="B4" s="122">
        <v>3</v>
      </c>
      <c r="C4" s="4" t="str">
        <f>IF(E1="Yes","",IF(E1="No","Pre-Construction","Update"))</f>
        <v>Pre-Construction</v>
      </c>
      <c r="D4" s="3" t="s">
        <v>38</v>
      </c>
      <c r="E4" s="140" t="s">
        <v>424</v>
      </c>
    </row>
    <row r="6" spans="1:7" x14ac:dyDescent="0.2">
      <c r="A6" s="198" t="s">
        <v>39</v>
      </c>
      <c r="B6" s="198"/>
      <c r="C6" s="178" t="s">
        <v>425</v>
      </c>
      <c r="D6" s="178"/>
    </row>
    <row r="7" spans="1:7" x14ac:dyDescent="0.2">
      <c r="A7" s="198" t="s">
        <v>412</v>
      </c>
      <c r="B7" s="198"/>
      <c r="C7" s="178" t="s">
        <v>159</v>
      </c>
      <c r="D7" s="178"/>
    </row>
    <row r="9" spans="1:7" x14ac:dyDescent="0.2">
      <c r="A9" s="2" t="s">
        <v>40</v>
      </c>
    </row>
    <row r="10" spans="1:7" x14ac:dyDescent="0.2">
      <c r="A10" s="2"/>
    </row>
    <row r="11" spans="1:7" x14ac:dyDescent="0.2">
      <c r="C11" s="10" t="s">
        <v>41</v>
      </c>
      <c r="D11" s="3">
        <v>1</v>
      </c>
      <c r="E11" s="8"/>
      <c r="G11" s="8"/>
    </row>
    <row r="12" spans="1:7" x14ac:dyDescent="0.2">
      <c r="A12" s="11" t="s">
        <v>42</v>
      </c>
      <c r="D12" s="166" t="s">
        <v>80</v>
      </c>
      <c r="E12" s="8"/>
      <c r="F12" s="121"/>
      <c r="G12" s="8"/>
    </row>
    <row r="13" spans="1:7" x14ac:dyDescent="0.2">
      <c r="A13" s="11" t="s">
        <v>43</v>
      </c>
      <c r="D13" s="165">
        <f>VLOOKUP(D12,'Tc - Mannings n'!$C$5:$D$8,2,FALSE)</f>
        <v>0.8</v>
      </c>
      <c r="E13" s="8"/>
      <c r="F13" s="141">
        <v>0</v>
      </c>
      <c r="G13" s="8"/>
    </row>
    <row r="14" spans="1:7" x14ac:dyDescent="0.2">
      <c r="A14" s="11" t="s">
        <v>44</v>
      </c>
      <c r="D14" s="141">
        <v>100</v>
      </c>
      <c r="E14" s="13"/>
      <c r="F14" s="141">
        <v>0</v>
      </c>
      <c r="G14" s="13"/>
    </row>
    <row r="15" spans="1:7" x14ac:dyDescent="0.2">
      <c r="A15" s="11" t="s">
        <v>45</v>
      </c>
      <c r="D15" s="12">
        <f>VLOOKUP($C$7,'SCDHEC 24 HR Storm (in.)'!$B$3:$J$64,3,FALSE)</f>
        <v>3.6</v>
      </c>
      <c r="E15" s="14"/>
      <c r="F15" s="12">
        <f>VLOOKUP($C$7,'SCDHEC 24 HR Storm (in.)'!$B$3:$J$64,3,FALSE)</f>
        <v>3.6</v>
      </c>
      <c r="G15" s="14"/>
    </row>
    <row r="16" spans="1:7" x14ac:dyDescent="0.2">
      <c r="A16" s="11" t="s">
        <v>46</v>
      </c>
      <c r="D16" s="141">
        <v>0.01</v>
      </c>
      <c r="E16" s="15"/>
      <c r="F16" s="141">
        <v>9.9999999999999995E-7</v>
      </c>
      <c r="G16" s="15"/>
    </row>
    <row r="17" spans="1:9" x14ac:dyDescent="0.2">
      <c r="A17" s="11"/>
      <c r="D17" s="11"/>
      <c r="E17" s="16"/>
      <c r="F17" s="11"/>
      <c r="G17" s="16"/>
    </row>
    <row r="18" spans="1:9" x14ac:dyDescent="0.2">
      <c r="A18" s="11" t="s">
        <v>47</v>
      </c>
      <c r="D18" s="12">
        <f>((0.007*(D13*D14)^0.8)/(((D15)^0.5)*((D16)^0.4)))</f>
        <v>0.77520895196986561</v>
      </c>
      <c r="E18" s="16"/>
      <c r="F18" s="12">
        <f>((0.007*(F13*F14)^0.8)/(((F15)^0.5)*((F16)^0.4)))</f>
        <v>0</v>
      </c>
      <c r="G18" s="16"/>
    </row>
    <row r="19" spans="1:9" x14ac:dyDescent="0.2">
      <c r="D19" s="17"/>
      <c r="E19" s="16"/>
      <c r="F19" s="17"/>
      <c r="G19" s="16"/>
    </row>
    <row r="20" spans="1:9" x14ac:dyDescent="0.2">
      <c r="D20" s="199" t="s">
        <v>48</v>
      </c>
      <c r="E20" s="200"/>
      <c r="F20" s="200"/>
      <c r="G20" s="200"/>
      <c r="H20" s="18">
        <f>D18+F18</f>
        <v>0.77520895196986561</v>
      </c>
    </row>
    <row r="22" spans="1:9" x14ac:dyDescent="0.2">
      <c r="A22" s="19" t="s">
        <v>49</v>
      </c>
    </row>
    <row r="23" spans="1:9" x14ac:dyDescent="0.2">
      <c r="C23" s="10" t="s">
        <v>41</v>
      </c>
      <c r="D23" s="3">
        <v>2</v>
      </c>
    </row>
    <row r="24" spans="1:9" x14ac:dyDescent="0.2">
      <c r="A24" s="11" t="s">
        <v>50</v>
      </c>
      <c r="D24" s="20" t="s">
        <v>51</v>
      </c>
      <c r="F24" s="11" t="s">
        <v>52</v>
      </c>
    </row>
    <row r="25" spans="1:9" x14ac:dyDescent="0.2">
      <c r="A25" s="11" t="s">
        <v>53</v>
      </c>
      <c r="D25" s="141">
        <v>760</v>
      </c>
      <c r="F25" s="141">
        <v>90</v>
      </c>
    </row>
    <row r="26" spans="1:9" x14ac:dyDescent="0.2">
      <c r="A26" s="11" t="s">
        <v>54</v>
      </c>
      <c r="D26" s="141">
        <f>75/D25</f>
        <v>9.8684210526315791E-2</v>
      </c>
      <c r="E26" s="21"/>
      <c r="F26" s="141">
        <f>33/F25</f>
        <v>0.36666666666666664</v>
      </c>
      <c r="G26" s="21"/>
      <c r="H26" s="21"/>
      <c r="I26" s="21"/>
    </row>
    <row r="27" spans="1:9" x14ac:dyDescent="0.2">
      <c r="A27" s="11" t="s">
        <v>55</v>
      </c>
      <c r="D27" s="12">
        <f>(16.1345*(D26^0.5))</f>
        <v>5.0684987874992702</v>
      </c>
      <c r="E27" s="5"/>
      <c r="F27" s="12">
        <f>(20.3282*(F26^0.5))</f>
        <v>12.309336385632925</v>
      </c>
      <c r="G27" s="5"/>
    </row>
    <row r="28" spans="1:9" x14ac:dyDescent="0.2">
      <c r="A28" s="11"/>
      <c r="D28" s="12"/>
      <c r="E28" s="17"/>
      <c r="F28" s="12"/>
      <c r="G28" s="17"/>
    </row>
    <row r="29" spans="1:9" x14ac:dyDescent="0.2">
      <c r="A29" s="11" t="s">
        <v>56</v>
      </c>
      <c r="D29" s="12">
        <f>(D25)/((3600*(D27)))</f>
        <v>4.1651605329725359E-2</v>
      </c>
      <c r="E29" s="17"/>
      <c r="F29" s="12">
        <f>(F25)/((3600*(F27)))</f>
        <v>2.0309786991587315E-3</v>
      </c>
      <c r="G29" s="17"/>
    </row>
    <row r="30" spans="1:9" x14ac:dyDescent="0.2">
      <c r="D30" s="17"/>
      <c r="E30" s="17"/>
      <c r="F30" s="17"/>
      <c r="G30" s="17"/>
    </row>
    <row r="31" spans="1:9" x14ac:dyDescent="0.2">
      <c r="D31" s="199" t="s">
        <v>57</v>
      </c>
      <c r="E31" s="200"/>
      <c r="F31" s="200"/>
      <c r="G31" s="200"/>
      <c r="H31" s="22">
        <f>D29</f>
        <v>4.1651605329725359E-2</v>
      </c>
    </row>
    <row r="32" spans="1:9" x14ac:dyDescent="0.2">
      <c r="A32" s="23" t="s">
        <v>58</v>
      </c>
    </row>
    <row r="33" spans="1:8" x14ac:dyDescent="0.2">
      <c r="A33" s="2"/>
    </row>
    <row r="34" spans="1:8" x14ac:dyDescent="0.2">
      <c r="A34" s="2"/>
      <c r="C34" s="10" t="s">
        <v>41</v>
      </c>
    </row>
    <row r="35" spans="1:8" ht="13.5" x14ac:dyDescent="0.2">
      <c r="A35" s="12" t="s">
        <v>59</v>
      </c>
      <c r="D35" s="141">
        <v>1E-4</v>
      </c>
      <c r="F35" s="141">
        <v>9.9999999999999994E-12</v>
      </c>
    </row>
    <row r="36" spans="1:8" x14ac:dyDescent="0.2">
      <c r="A36" s="12" t="s">
        <v>60</v>
      </c>
      <c r="D36" s="141">
        <v>1.0000000000000001E-5</v>
      </c>
      <c r="F36" s="141">
        <v>1E-4</v>
      </c>
    </row>
    <row r="37" spans="1:8" x14ac:dyDescent="0.2">
      <c r="A37" s="12" t="s">
        <v>61</v>
      </c>
      <c r="D37" s="12">
        <f>D35/D36</f>
        <v>10</v>
      </c>
      <c r="E37" s="17"/>
      <c r="F37" s="12">
        <f>F35/F36</f>
        <v>9.9999999999999995E-8</v>
      </c>
    </row>
    <row r="38" spans="1:8" x14ac:dyDescent="0.2">
      <c r="A38" s="12" t="s">
        <v>62</v>
      </c>
      <c r="D38" s="141">
        <v>1.0000000000000001E-9</v>
      </c>
      <c r="E38" s="21"/>
      <c r="F38" s="141">
        <v>9.9999999999999995E-7</v>
      </c>
      <c r="G38" s="21"/>
    </row>
    <row r="39" spans="1:8" x14ac:dyDescent="0.2">
      <c r="A39" s="12" t="s">
        <v>63</v>
      </c>
      <c r="D39" s="141">
        <v>0.1</v>
      </c>
      <c r="E39" s="5" t="s">
        <v>64</v>
      </c>
      <c r="F39" s="141">
        <v>1E-4</v>
      </c>
      <c r="G39" s="5"/>
    </row>
    <row r="40" spans="1:8" x14ac:dyDescent="0.2">
      <c r="A40" s="12" t="s">
        <v>65</v>
      </c>
      <c r="D40" s="12">
        <f>1.49*D37^(2/3)*D38^(1/2)/D39</f>
        <v>2.1870209087568836E-3</v>
      </c>
      <c r="E40" s="5"/>
      <c r="F40" s="12">
        <f>1.49*F37^(2/3)*F38^(1/2)/F39</f>
        <v>3.2101076881475095E-4</v>
      </c>
      <c r="G40" s="5"/>
    </row>
    <row r="41" spans="1:8" x14ac:dyDescent="0.2">
      <c r="A41" s="12" t="s">
        <v>66</v>
      </c>
      <c r="D41" s="141">
        <v>0</v>
      </c>
      <c r="E41" s="5"/>
      <c r="F41" s="141">
        <v>0</v>
      </c>
      <c r="G41" s="5"/>
    </row>
    <row r="42" spans="1:8" x14ac:dyDescent="0.2">
      <c r="A42" s="17"/>
      <c r="D42" s="17"/>
      <c r="E42" s="5"/>
      <c r="F42" s="17"/>
      <c r="G42" s="5"/>
    </row>
    <row r="43" spans="1:8" x14ac:dyDescent="0.2">
      <c r="A43" s="12" t="s">
        <v>67</v>
      </c>
      <c r="D43" s="12">
        <f>D41/3600/D40</f>
        <v>0</v>
      </c>
      <c r="E43" s="24"/>
      <c r="F43" s="12">
        <f>F41/3600/F40</f>
        <v>0</v>
      </c>
      <c r="G43" s="17"/>
    </row>
    <row r="45" spans="1:8" x14ac:dyDescent="0.2">
      <c r="D45" s="199" t="s">
        <v>68</v>
      </c>
      <c r="E45" s="200"/>
      <c r="F45" s="200"/>
      <c r="G45" s="200"/>
      <c r="H45" s="18">
        <f>D43+F43</f>
        <v>0</v>
      </c>
    </row>
    <row r="46" spans="1:8" x14ac:dyDescent="0.2">
      <c r="D46" s="25"/>
      <c r="E46" s="26"/>
      <c r="F46" s="25"/>
      <c r="G46" s="25"/>
    </row>
    <row r="48" spans="1:8" x14ac:dyDescent="0.2">
      <c r="B48" s="1" t="s">
        <v>69</v>
      </c>
      <c r="C48" s="1"/>
      <c r="D48" s="27">
        <f>H45+H20+H31</f>
        <v>0.81686055729959095</v>
      </c>
      <c r="E48" s="1" t="s">
        <v>70</v>
      </c>
      <c r="F48" s="27">
        <f>D48*60</f>
        <v>49.011633437975455</v>
      </c>
      <c r="G48" s="1" t="s">
        <v>71</v>
      </c>
    </row>
  </sheetData>
  <mergeCells count="8">
    <mergeCell ref="A1:D1"/>
    <mergeCell ref="D20:G20"/>
    <mergeCell ref="D31:G31"/>
    <mergeCell ref="D45:G45"/>
    <mergeCell ref="A7:B7"/>
    <mergeCell ref="A6:B6"/>
    <mergeCell ref="C7:D7"/>
    <mergeCell ref="C6:D6"/>
  </mergeCells>
  <phoneticPr fontId="0" type="noConversion"/>
  <dataValidations count="3">
    <dataValidation type="list" allowBlank="1" showInputMessage="1" showErrorMessage="1" sqref="D12">
      <formula1>desc</formula1>
    </dataValidation>
    <dataValidation type="list" allowBlank="1" showInputMessage="1" showErrorMessage="1" sqref="C7">
      <formula1>Counties</formula1>
    </dataValidation>
    <dataValidation type="list" allowBlank="1" showInputMessage="1" showErrorMessage="1" sqref="E1">
      <formula1>YN</formula1>
    </dataValidation>
  </dataValidations>
  <pageMargins left="0.75" right="0.75" top="1" bottom="1" header="0.5" footer="0.5"/>
  <pageSetup orientation="portrait" blackAndWhite="1" r:id="rId1"/>
  <headerFooter alignWithMargins="0">
    <oddHeader>&amp;CTime of Concentration
(Pre-Construction)&amp;R&amp;D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47"/>
  <sheetViews>
    <sheetView tabSelected="1" view="pageLayout" topLeftCell="A10" zoomScaleNormal="100" workbookViewId="0">
      <selection activeCell="I21" sqref="I21"/>
    </sheetView>
  </sheetViews>
  <sheetFormatPr defaultColWidth="10.28515625" defaultRowHeight="12.75" x14ac:dyDescent="0.2"/>
  <cols>
    <col min="1" max="1" width="13.140625" style="3" customWidth="1"/>
    <col min="2" max="2" width="10.28515625" style="3" customWidth="1"/>
    <col min="3" max="3" width="18.140625" style="3" customWidth="1"/>
    <col min="4" max="4" width="11.140625" style="3" customWidth="1"/>
    <col min="5" max="5" width="9.7109375" style="3" customWidth="1"/>
    <col min="6" max="6" width="11.140625" style="3" customWidth="1"/>
    <col min="7" max="7" width="4.85546875" style="3" customWidth="1"/>
    <col min="8" max="8" width="10.28515625" style="3" customWidth="1"/>
    <col min="9" max="9" width="9.7109375" style="3" customWidth="1"/>
    <col min="10" max="10" width="13.7109375" customWidth="1"/>
    <col min="11" max="11" width="9" customWidth="1"/>
    <col min="12" max="12" width="12.140625" customWidth="1"/>
    <col min="13" max="18" width="10.28515625" customWidth="1"/>
    <col min="19" max="16384" width="10.28515625" style="3"/>
  </cols>
  <sheetData>
    <row r="1" spans="1:7" x14ac:dyDescent="0.2">
      <c r="A1" s="1"/>
      <c r="B1" s="1"/>
    </row>
    <row r="2" spans="1:7" x14ac:dyDescent="0.2">
      <c r="A2" s="3" t="s">
        <v>35</v>
      </c>
      <c r="B2" s="174" t="s">
        <v>418</v>
      </c>
      <c r="D2" s="3" t="s">
        <v>36</v>
      </c>
      <c r="E2" s="4"/>
    </row>
    <row r="3" spans="1:7" x14ac:dyDescent="0.2">
      <c r="A3" s="3" t="s">
        <v>37</v>
      </c>
      <c r="B3" s="122">
        <v>3</v>
      </c>
      <c r="C3" s="3" t="s">
        <v>112</v>
      </c>
      <c r="D3" s="3" t="s">
        <v>38</v>
      </c>
      <c r="E3" s="140" t="s">
        <v>424</v>
      </c>
    </row>
    <row r="5" spans="1:7" x14ac:dyDescent="0.2">
      <c r="A5" s="198" t="s">
        <v>39</v>
      </c>
      <c r="B5" s="198"/>
      <c r="C5" s="178" t="s">
        <v>425</v>
      </c>
      <c r="D5" s="178"/>
    </row>
    <row r="6" spans="1:7" x14ac:dyDescent="0.2">
      <c r="A6" s="198" t="s">
        <v>412</v>
      </c>
      <c r="B6" s="198"/>
      <c r="C6" s="180" t="str">
        <f>'tc-pre'!C7:D7</f>
        <v>Lexington, SC</v>
      </c>
      <c r="D6" s="180"/>
    </row>
    <row r="8" spans="1:7" x14ac:dyDescent="0.2">
      <c r="A8" s="2" t="s">
        <v>40</v>
      </c>
    </row>
    <row r="9" spans="1:7" x14ac:dyDescent="0.2">
      <c r="A9" s="2"/>
    </row>
    <row r="10" spans="1:7" x14ac:dyDescent="0.2">
      <c r="C10" s="10" t="s">
        <v>41</v>
      </c>
      <c r="D10" s="3">
        <v>1</v>
      </c>
      <c r="E10" s="8"/>
      <c r="G10" s="8"/>
    </row>
    <row r="11" spans="1:7" x14ac:dyDescent="0.2">
      <c r="A11" s="11" t="s">
        <v>42</v>
      </c>
      <c r="D11" s="166" t="s">
        <v>80</v>
      </c>
      <c r="E11" s="8"/>
      <c r="G11" s="8"/>
    </row>
    <row r="12" spans="1:7" x14ac:dyDescent="0.2">
      <c r="A12" s="11" t="s">
        <v>43</v>
      </c>
      <c r="D12" s="165">
        <f>VLOOKUP(D11,'Tc - Mannings n'!$C$5:$D$8,2,FALSE)</f>
        <v>0.8</v>
      </c>
      <c r="E12" s="8"/>
      <c r="F12" s="141">
        <v>0</v>
      </c>
      <c r="G12" s="8"/>
    </row>
    <row r="13" spans="1:7" x14ac:dyDescent="0.2">
      <c r="A13" s="11" t="s">
        <v>44</v>
      </c>
      <c r="D13" s="141">
        <v>100</v>
      </c>
      <c r="E13" s="13"/>
      <c r="F13" s="141">
        <v>0</v>
      </c>
      <c r="G13" s="13"/>
    </row>
    <row r="14" spans="1:7" x14ac:dyDescent="0.2">
      <c r="A14" s="11" t="s">
        <v>45</v>
      </c>
      <c r="D14" s="12">
        <f>VLOOKUP($C$6,'SCDHEC 24 HR Storm (in.)'!$B$3:$J$64,3,FALSE)</f>
        <v>3.6</v>
      </c>
      <c r="E14" s="14"/>
      <c r="F14" s="12">
        <f>VLOOKUP($C$6,'SCDHEC 24 HR Storm (in.)'!$B$3:$J$64,3,FALSE)</f>
        <v>3.6</v>
      </c>
      <c r="G14" s="14"/>
    </row>
    <row r="15" spans="1:7" x14ac:dyDescent="0.2">
      <c r="A15" s="11" t="s">
        <v>46</v>
      </c>
      <c r="D15" s="141">
        <v>0.01</v>
      </c>
      <c r="E15" s="15"/>
      <c r="F15" s="141">
        <v>9.9999999999999995E-7</v>
      </c>
      <c r="G15" s="15"/>
    </row>
    <row r="16" spans="1:7" x14ac:dyDescent="0.2">
      <c r="A16" s="11"/>
      <c r="D16" s="11"/>
      <c r="E16" s="16"/>
      <c r="F16" s="11"/>
      <c r="G16" s="16"/>
    </row>
    <row r="17" spans="1:9" x14ac:dyDescent="0.2">
      <c r="A17" s="11" t="s">
        <v>47</v>
      </c>
      <c r="D17" s="12">
        <f>((0.007*(D12*D13)^0.8)/(((D14)^0.5)*((D15)^0.4)))</f>
        <v>0.77520895196986561</v>
      </c>
      <c r="E17" s="16"/>
      <c r="F17" s="12">
        <f>((0.007*(F12*F13)^0.8)/(((F14)^0.5)*((F15)^0.4)))</f>
        <v>0</v>
      </c>
      <c r="G17" s="16"/>
    </row>
    <row r="18" spans="1:9" x14ac:dyDescent="0.2">
      <c r="D18" s="17"/>
      <c r="E18" s="16"/>
      <c r="F18" s="17"/>
      <c r="G18" s="16"/>
    </row>
    <row r="19" spans="1:9" x14ac:dyDescent="0.2">
      <c r="D19" s="199" t="s">
        <v>48</v>
      </c>
      <c r="E19" s="200"/>
      <c r="F19" s="200"/>
      <c r="G19" s="200"/>
      <c r="H19" s="18">
        <f>D17+F17</f>
        <v>0.77520895196986561</v>
      </c>
    </row>
    <row r="21" spans="1:9" x14ac:dyDescent="0.2">
      <c r="A21" s="19" t="s">
        <v>49</v>
      </c>
    </row>
    <row r="22" spans="1:9" x14ac:dyDescent="0.2">
      <c r="C22" s="10" t="s">
        <v>41</v>
      </c>
      <c r="D22" s="3">
        <v>2</v>
      </c>
    </row>
    <row r="23" spans="1:9" x14ac:dyDescent="0.2">
      <c r="A23" s="11" t="s">
        <v>50</v>
      </c>
      <c r="D23" s="20" t="s">
        <v>51</v>
      </c>
      <c r="F23" s="11" t="s">
        <v>52</v>
      </c>
    </row>
    <row r="24" spans="1:9" x14ac:dyDescent="0.2">
      <c r="A24" s="11" t="s">
        <v>53</v>
      </c>
      <c r="D24" s="141">
        <v>760</v>
      </c>
      <c r="F24" s="141">
        <v>120</v>
      </c>
    </row>
    <row r="25" spans="1:9" x14ac:dyDescent="0.2">
      <c r="A25" s="11" t="s">
        <v>54</v>
      </c>
      <c r="D25" s="141">
        <f>75/D24</f>
        <v>9.8684210526315791E-2</v>
      </c>
      <c r="E25" s="21"/>
      <c r="F25" s="141">
        <f>33/F24</f>
        <v>0.27500000000000002</v>
      </c>
      <c r="G25" s="21"/>
      <c r="H25" s="21"/>
      <c r="I25" s="21"/>
    </row>
    <row r="26" spans="1:9" x14ac:dyDescent="0.2">
      <c r="A26" s="11" t="s">
        <v>55</v>
      </c>
      <c r="D26" s="12">
        <f>(16.1345*(D25^0.5))</f>
        <v>5.0684987874992702</v>
      </c>
      <c r="E26" s="5"/>
      <c r="F26" s="12">
        <f>(20.3282*(F25^0.5))</f>
        <v>10.660198013686237</v>
      </c>
      <c r="G26" s="5"/>
    </row>
    <row r="27" spans="1:9" x14ac:dyDescent="0.2">
      <c r="A27" s="11"/>
      <c r="D27" s="12"/>
      <c r="E27" s="17"/>
      <c r="F27" s="12"/>
      <c r="G27" s="17"/>
    </row>
    <row r="28" spans="1:9" x14ac:dyDescent="0.2">
      <c r="A28" s="11" t="s">
        <v>56</v>
      </c>
      <c r="D28" s="12">
        <f>(D24)/((3600*(D26)))</f>
        <v>4.1651605329725359E-2</v>
      </c>
      <c r="E28" s="17"/>
      <c r="F28" s="12">
        <f>(F24)/((3600*(F26)))</f>
        <v>3.1268962631405051E-3</v>
      </c>
      <c r="G28" s="17"/>
    </row>
    <row r="29" spans="1:9" x14ac:dyDescent="0.2">
      <c r="D29" s="17"/>
      <c r="E29" s="17"/>
      <c r="F29" s="17"/>
      <c r="G29" s="17"/>
    </row>
    <row r="30" spans="1:9" x14ac:dyDescent="0.2">
      <c r="D30" s="199" t="s">
        <v>57</v>
      </c>
      <c r="E30" s="200"/>
      <c r="F30" s="200"/>
      <c r="G30" s="200"/>
      <c r="H30" s="22">
        <f>D28</f>
        <v>4.1651605329725359E-2</v>
      </c>
    </row>
    <row r="31" spans="1:9" x14ac:dyDescent="0.2">
      <c r="A31" s="23" t="s">
        <v>58</v>
      </c>
    </row>
    <row r="32" spans="1:9" x14ac:dyDescent="0.2">
      <c r="A32" s="2"/>
    </row>
    <row r="33" spans="1:8" x14ac:dyDescent="0.2">
      <c r="A33" s="2"/>
      <c r="C33" s="10" t="s">
        <v>41</v>
      </c>
    </row>
    <row r="34" spans="1:8" ht="13.5" x14ac:dyDescent="0.2">
      <c r="A34" s="12" t="s">
        <v>59</v>
      </c>
      <c r="D34" s="141">
        <v>1E-4</v>
      </c>
      <c r="F34" s="141">
        <v>9.9999999999999994E-12</v>
      </c>
    </row>
    <row r="35" spans="1:8" x14ac:dyDescent="0.2">
      <c r="A35" s="12" t="s">
        <v>60</v>
      </c>
      <c r="D35" s="141">
        <v>1.0000000000000001E-5</v>
      </c>
      <c r="F35" s="141">
        <v>1E-4</v>
      </c>
    </row>
    <row r="36" spans="1:8" x14ac:dyDescent="0.2">
      <c r="A36" s="12" t="s">
        <v>61</v>
      </c>
      <c r="D36" s="12">
        <f>D34/D35</f>
        <v>10</v>
      </c>
      <c r="E36" s="17"/>
      <c r="F36" s="12">
        <f>F34/F35</f>
        <v>9.9999999999999995E-8</v>
      </c>
    </row>
    <row r="37" spans="1:8" x14ac:dyDescent="0.2">
      <c r="A37" s="12" t="s">
        <v>62</v>
      </c>
      <c r="D37" s="141">
        <v>1.0000000000000001E-9</v>
      </c>
      <c r="E37" s="21"/>
      <c r="F37" s="141">
        <v>9.9999999999999995E-7</v>
      </c>
      <c r="G37" s="21"/>
    </row>
    <row r="38" spans="1:8" x14ac:dyDescent="0.2">
      <c r="A38" s="12" t="s">
        <v>63</v>
      </c>
      <c r="D38" s="141">
        <v>9.9999999999999995E-7</v>
      </c>
      <c r="E38" s="5" t="s">
        <v>64</v>
      </c>
      <c r="F38" s="141">
        <v>1E-4</v>
      </c>
      <c r="G38" s="5"/>
    </row>
    <row r="39" spans="1:8" x14ac:dyDescent="0.2">
      <c r="A39" s="12" t="s">
        <v>65</v>
      </c>
      <c r="D39" s="12">
        <f>1.49*D36^(2/3)*D37^(1/2)/D38</f>
        <v>218.70209087568838</v>
      </c>
      <c r="E39" s="5"/>
      <c r="F39" s="12">
        <f>1.49*F36^(2/3)*F37^(1/2)/F38</f>
        <v>3.2101076881475095E-4</v>
      </c>
      <c r="G39" s="5"/>
    </row>
    <row r="40" spans="1:8" x14ac:dyDescent="0.2">
      <c r="A40" s="12" t="s">
        <v>66</v>
      </c>
      <c r="D40" s="141">
        <v>0</v>
      </c>
      <c r="E40" s="5"/>
      <c r="F40" s="141">
        <v>0</v>
      </c>
      <c r="G40" s="5"/>
    </row>
    <row r="41" spans="1:8" x14ac:dyDescent="0.2">
      <c r="A41" s="17"/>
      <c r="D41" s="17"/>
      <c r="E41" s="5"/>
      <c r="F41" s="17"/>
      <c r="G41" s="5"/>
    </row>
    <row r="42" spans="1:8" x14ac:dyDescent="0.2">
      <c r="A42" s="12" t="s">
        <v>67</v>
      </c>
      <c r="D42" s="12">
        <f>D40/3600/D39</f>
        <v>0</v>
      </c>
      <c r="E42" s="24"/>
      <c r="F42" s="12">
        <f>F40/3600/F39</f>
        <v>0</v>
      </c>
      <c r="G42" s="17"/>
    </row>
    <row r="44" spans="1:8" x14ac:dyDescent="0.2">
      <c r="D44" s="199" t="s">
        <v>68</v>
      </c>
      <c r="E44" s="200"/>
      <c r="F44" s="200"/>
      <c r="G44" s="200"/>
      <c r="H44" s="18">
        <f>D42+F42</f>
        <v>0</v>
      </c>
    </row>
    <row r="45" spans="1:8" x14ac:dyDescent="0.2">
      <c r="D45" s="25"/>
      <c r="E45" s="26"/>
      <c r="F45" s="25"/>
      <c r="G45" s="25"/>
    </row>
    <row r="47" spans="1:8" x14ac:dyDescent="0.2">
      <c r="B47" s="1" t="s">
        <v>69</v>
      </c>
      <c r="C47" s="1"/>
      <c r="D47" s="27">
        <f>IF('tc-pre'!E1="Yes",'tc-pre'!D48,H44+H19+H30)</f>
        <v>0.81686055729959095</v>
      </c>
      <c r="E47" s="1" t="s">
        <v>70</v>
      </c>
      <c r="F47" s="27">
        <f>D47*60</f>
        <v>49.011633437975455</v>
      </c>
      <c r="G47" s="1" t="s">
        <v>71</v>
      </c>
    </row>
  </sheetData>
  <mergeCells count="7">
    <mergeCell ref="D19:G19"/>
    <mergeCell ref="D30:G30"/>
    <mergeCell ref="D44:G44"/>
    <mergeCell ref="A6:B6"/>
    <mergeCell ref="A5:B5"/>
    <mergeCell ref="C6:D6"/>
    <mergeCell ref="C5:D5"/>
  </mergeCells>
  <phoneticPr fontId="0" type="noConversion"/>
  <dataValidations count="1">
    <dataValidation type="list" allowBlank="1" showInputMessage="1" showErrorMessage="1" sqref="D11">
      <formula1>desc</formula1>
    </dataValidation>
  </dataValidations>
  <pageMargins left="0.75" right="0.75" top="1" bottom="1" header="0.5" footer="0.5"/>
  <pageSetup orientation="portrait" blackAndWhite="1" r:id="rId1"/>
  <headerFooter alignWithMargins="0">
    <oddHeader>&amp;CTime of Concentration
(Post-Construction)&amp;R&amp;D</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143</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240.17076</v>
      </c>
      <c r="C9" s="30">
        <v>35.630209999999998</v>
      </c>
      <c r="D9" s="30">
        <v>1.03569</v>
      </c>
      <c r="E9" s="29"/>
      <c r="F9" s="29"/>
      <c r="G9" s="9">
        <f t="shared" ref="G9:G14" si="0">B9/(C9+$D$4)^D9</f>
        <v>2.4218068667404116</v>
      </c>
      <c r="H9" s="9">
        <f t="shared" ref="H9:H14" si="1">B9/(C9+$D$5)^D9</f>
        <v>2.4218068667404116</v>
      </c>
      <c r="J9" s="29"/>
      <c r="K9" s="29"/>
      <c r="L9" s="30"/>
    </row>
    <row r="10" spans="1:12" x14ac:dyDescent="0.2">
      <c r="A10" s="31">
        <v>5</v>
      </c>
      <c r="B10" s="34">
        <v>255.24329</v>
      </c>
      <c r="C10" s="30">
        <v>33.254809999999999</v>
      </c>
      <c r="D10" s="30">
        <v>1.0208900000000001</v>
      </c>
      <c r="E10" s="29"/>
      <c r="F10" s="29"/>
      <c r="G10" s="9">
        <f t="shared" si="0"/>
        <v>2.8295841170154254</v>
      </c>
      <c r="H10" s="9">
        <f t="shared" si="1"/>
        <v>2.8295841170154254</v>
      </c>
      <c r="J10" s="29"/>
      <c r="K10" s="29"/>
      <c r="L10" s="30"/>
    </row>
    <row r="11" spans="1:12" x14ac:dyDescent="0.2">
      <c r="A11" s="31">
        <v>10</v>
      </c>
      <c r="B11" s="34">
        <v>265.24779999999998</v>
      </c>
      <c r="C11" s="30">
        <v>31.742000000000001</v>
      </c>
      <c r="D11" s="30">
        <v>1.0112399999999999</v>
      </c>
      <c r="E11" s="29"/>
      <c r="F11" s="29"/>
      <c r="G11" s="35">
        <f t="shared" si="0"/>
        <v>3.1264624475422034</v>
      </c>
      <c r="H11" s="118">
        <f t="shared" si="1"/>
        <v>3.1264624475422034</v>
      </c>
      <c r="J11" s="29"/>
      <c r="K11" s="29"/>
      <c r="L11" s="30"/>
    </row>
    <row r="12" spans="1:12" x14ac:dyDescent="0.2">
      <c r="A12" s="31">
        <v>25</v>
      </c>
      <c r="B12" s="34">
        <v>278.52156000000002</v>
      </c>
      <c r="C12" s="30">
        <v>29.775359999999999</v>
      </c>
      <c r="D12" s="30">
        <v>0.99855000000000005</v>
      </c>
      <c r="E12" s="29"/>
      <c r="F12" s="29"/>
      <c r="G12" s="9">
        <f t="shared" si="0"/>
        <v>3.557575701758696</v>
      </c>
      <c r="H12" s="9">
        <f t="shared" si="1"/>
        <v>3.557575701758696</v>
      </c>
      <c r="J12" s="29"/>
      <c r="K12" s="29"/>
      <c r="L12" s="30"/>
    </row>
    <row r="13" spans="1:12" x14ac:dyDescent="0.2">
      <c r="A13" s="31">
        <v>50</v>
      </c>
      <c r="B13" s="34">
        <v>287.81452999999999</v>
      </c>
      <c r="C13" s="30">
        <v>28.396049999999999</v>
      </c>
      <c r="D13" s="30">
        <v>0.98965999999999998</v>
      </c>
      <c r="E13" s="29"/>
      <c r="F13" s="29"/>
      <c r="G13" s="9">
        <f t="shared" si="0"/>
        <v>3.8891856235416689</v>
      </c>
      <c r="H13" s="9">
        <f t="shared" si="1"/>
        <v>3.8891856235416689</v>
      </c>
    </row>
    <row r="14" spans="1:12" x14ac:dyDescent="0.2">
      <c r="A14" s="31">
        <v>100</v>
      </c>
      <c r="B14" s="34">
        <v>295.99399</v>
      </c>
      <c r="C14" s="30">
        <v>27.15249</v>
      </c>
      <c r="D14" s="30">
        <v>0.98175999999999997</v>
      </c>
      <c r="E14" s="29"/>
      <c r="F14" s="29"/>
      <c r="G14" s="9">
        <f t="shared" si="0"/>
        <v>4.2058673670063085</v>
      </c>
      <c r="H14" s="9">
        <f t="shared" si="1"/>
        <v>4.2058673670063085</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6.9326067850012283</v>
      </c>
      <c r="C19" s="30">
        <f t="shared" ref="C19:C26" si="2">A19/60</f>
        <v>8.3333333333333329E-2</v>
      </c>
      <c r="F19" s="29"/>
      <c r="G19" s="29"/>
      <c r="H19" s="29"/>
    </row>
    <row r="20" spans="1:8" x14ac:dyDescent="0.2">
      <c r="A20" s="29">
        <v>10</v>
      </c>
      <c r="B20" s="29">
        <f t="shared" ref="B20:B26" si="3">$B$11/($C$11+A20)^$D$11</f>
        <v>6.0934505824806591</v>
      </c>
      <c r="C20" s="30">
        <f t="shared" si="2"/>
        <v>0.16666666666666666</v>
      </c>
      <c r="F20" s="29"/>
      <c r="G20" s="29"/>
      <c r="H20" s="29"/>
    </row>
    <row r="21" spans="1:8" x14ac:dyDescent="0.2">
      <c r="A21" s="29">
        <v>30</v>
      </c>
      <c r="B21" s="29">
        <f t="shared" si="3"/>
        <v>4.1015212888151016</v>
      </c>
      <c r="C21" s="30">
        <f t="shared" si="2"/>
        <v>0.5</v>
      </c>
      <c r="F21" s="29"/>
      <c r="G21" s="29"/>
      <c r="H21" s="29"/>
    </row>
    <row r="22" spans="1:8" x14ac:dyDescent="0.2">
      <c r="A22" s="29">
        <v>60</v>
      </c>
      <c r="B22" s="29">
        <f t="shared" si="3"/>
        <v>2.7480480379573922</v>
      </c>
      <c r="C22" s="30">
        <f t="shared" si="2"/>
        <v>1</v>
      </c>
      <c r="F22" s="29"/>
      <c r="G22" s="29"/>
      <c r="H22" s="29"/>
    </row>
    <row r="23" spans="1:8" x14ac:dyDescent="0.2">
      <c r="A23" s="29">
        <v>180</v>
      </c>
      <c r="B23" s="29">
        <f t="shared" si="3"/>
        <v>1.1795129375177651</v>
      </c>
      <c r="C23" s="30">
        <f t="shared" si="2"/>
        <v>3</v>
      </c>
      <c r="F23" s="29"/>
      <c r="G23" s="29"/>
      <c r="H23" s="29"/>
    </row>
    <row r="24" spans="1:8" x14ac:dyDescent="0.2">
      <c r="A24" s="29">
        <v>360</v>
      </c>
      <c r="B24" s="29">
        <f t="shared" si="3"/>
        <v>0.63314959399507909</v>
      </c>
      <c r="C24" s="30">
        <f t="shared" si="2"/>
        <v>6</v>
      </c>
      <c r="F24" s="29"/>
      <c r="G24" s="33"/>
      <c r="H24" s="33"/>
    </row>
    <row r="25" spans="1:8" x14ac:dyDescent="0.2">
      <c r="A25" s="29">
        <v>840</v>
      </c>
      <c r="B25" s="29">
        <f t="shared" si="3"/>
        <v>0.28197711263414693</v>
      </c>
      <c r="C25" s="30">
        <f t="shared" si="2"/>
        <v>14</v>
      </c>
      <c r="F25" s="29"/>
      <c r="G25" s="9"/>
      <c r="H25" s="9"/>
    </row>
    <row r="26" spans="1:8" x14ac:dyDescent="0.2">
      <c r="A26" s="29">
        <v>1440</v>
      </c>
      <c r="B26" s="29">
        <f t="shared" si="3"/>
        <v>0.16604036468899533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331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331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144</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244.33716000000001</v>
      </c>
      <c r="C9" s="30">
        <v>34.959330000000001</v>
      </c>
      <c r="D9" s="30">
        <v>1.03155</v>
      </c>
      <c r="E9" s="29"/>
      <c r="F9" s="29"/>
      <c r="G9" s="9">
        <f t="shared" ref="G9:G14" si="0">B9/(C9+$D$4)^D9</f>
        <v>2.5301956883179386</v>
      </c>
      <c r="H9" s="9">
        <f t="shared" ref="H9:H14" si="1">B9/(C9+$D$5)^D9</f>
        <v>2.5301956883179386</v>
      </c>
      <c r="J9" s="29"/>
      <c r="K9" s="29"/>
      <c r="L9" s="30"/>
    </row>
    <row r="10" spans="1:12" x14ac:dyDescent="0.2">
      <c r="A10" s="31">
        <v>5</v>
      </c>
      <c r="B10" s="34">
        <v>257.69540999999998</v>
      </c>
      <c r="C10" s="30">
        <v>32.880209999999998</v>
      </c>
      <c r="D10" s="30">
        <v>1.01851</v>
      </c>
      <c r="E10" s="29"/>
      <c r="F10" s="29"/>
      <c r="G10" s="9">
        <f t="shared" si="0"/>
        <v>2.9003602955708851</v>
      </c>
      <c r="H10" s="9">
        <f t="shared" si="1"/>
        <v>2.9003602955708851</v>
      </c>
      <c r="J10" s="29"/>
      <c r="K10" s="29"/>
      <c r="L10" s="30"/>
    </row>
    <row r="11" spans="1:12" x14ac:dyDescent="0.2">
      <c r="A11" s="31">
        <v>10</v>
      </c>
      <c r="B11" s="34">
        <v>266.94598999999999</v>
      </c>
      <c r="C11" s="30">
        <v>31.48667</v>
      </c>
      <c r="D11" s="30">
        <v>1.0096099999999999</v>
      </c>
      <c r="E11" s="29"/>
      <c r="F11" s="29"/>
      <c r="G11" s="35">
        <f t="shared" si="0"/>
        <v>3.1792308465730859</v>
      </c>
      <c r="H11" s="118">
        <f t="shared" si="1"/>
        <v>3.1792308465730859</v>
      </c>
      <c r="J11" s="29"/>
      <c r="K11" s="29"/>
      <c r="L11" s="30"/>
    </row>
    <row r="12" spans="1:12" x14ac:dyDescent="0.2">
      <c r="A12" s="31">
        <v>25</v>
      </c>
      <c r="B12" s="34">
        <v>279.19853000000001</v>
      </c>
      <c r="C12" s="30">
        <v>29.675370000000001</v>
      </c>
      <c r="D12" s="30">
        <v>0.99790000000000001</v>
      </c>
      <c r="E12" s="29"/>
      <c r="F12" s="29"/>
      <c r="G12" s="9">
        <f t="shared" si="0"/>
        <v>3.5808944243331466</v>
      </c>
      <c r="H12" s="9">
        <f t="shared" si="1"/>
        <v>3.5808944243331466</v>
      </c>
      <c r="J12" s="29"/>
      <c r="K12" s="29"/>
      <c r="L12" s="30"/>
    </row>
    <row r="13" spans="1:12" x14ac:dyDescent="0.2">
      <c r="A13" s="31">
        <v>50</v>
      </c>
      <c r="B13" s="34">
        <v>287.71203000000003</v>
      </c>
      <c r="C13" s="30">
        <v>28.41133</v>
      </c>
      <c r="D13" s="30">
        <v>0.98975000000000002</v>
      </c>
      <c r="E13" s="29"/>
      <c r="F13" s="29"/>
      <c r="G13" s="9">
        <f t="shared" si="0"/>
        <v>3.8855199778994134</v>
      </c>
      <c r="H13" s="9">
        <f t="shared" si="1"/>
        <v>3.8855199778994134</v>
      </c>
    </row>
    <row r="14" spans="1:12" x14ac:dyDescent="0.2">
      <c r="A14" s="31">
        <v>100</v>
      </c>
      <c r="B14" s="34">
        <v>295.76549999999997</v>
      </c>
      <c r="C14" s="30">
        <v>27.18778</v>
      </c>
      <c r="D14" s="30">
        <v>0.98197999999999996</v>
      </c>
      <c r="E14" s="29"/>
      <c r="F14" s="29"/>
      <c r="G14" s="9">
        <f t="shared" si="0"/>
        <v>4.1967070432974154</v>
      </c>
      <c r="H14" s="9">
        <f t="shared" si="1"/>
        <v>4.1967070432974154</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7.0676830064074903</v>
      </c>
      <c r="C19" s="30">
        <f t="shared" ref="C19:C26" si="2">A19/60</f>
        <v>8.3333333333333329E-2</v>
      </c>
      <c r="F19" s="29"/>
      <c r="G19" s="29"/>
      <c r="H19" s="29"/>
    </row>
    <row r="20" spans="1:8" x14ac:dyDescent="0.2">
      <c r="A20" s="29">
        <v>10</v>
      </c>
      <c r="B20" s="29">
        <f t="shared" ref="B20:B26" si="3">$B$11/($C$11+A20)^$D$11</f>
        <v>6.2082146330879251</v>
      </c>
      <c r="C20" s="30">
        <f t="shared" si="2"/>
        <v>0.16666666666666666</v>
      </c>
      <c r="F20" s="29"/>
      <c r="G20" s="29"/>
      <c r="H20" s="29"/>
    </row>
    <row r="21" spans="1:8" x14ac:dyDescent="0.2">
      <c r="A21" s="29">
        <v>30</v>
      </c>
      <c r="B21" s="29">
        <f t="shared" si="3"/>
        <v>4.1730370741665386</v>
      </c>
      <c r="C21" s="30">
        <f t="shared" si="2"/>
        <v>0.5</v>
      </c>
      <c r="F21" s="29"/>
      <c r="G21" s="29"/>
      <c r="H21" s="29"/>
    </row>
    <row r="22" spans="1:8" x14ac:dyDescent="0.2">
      <c r="A22" s="29">
        <v>60</v>
      </c>
      <c r="B22" s="29">
        <f t="shared" si="3"/>
        <v>2.7939390815258647</v>
      </c>
      <c r="C22" s="30">
        <f t="shared" si="2"/>
        <v>1</v>
      </c>
      <c r="F22" s="29"/>
      <c r="G22" s="29"/>
      <c r="H22" s="29"/>
    </row>
    <row r="23" spans="1:8" x14ac:dyDescent="0.2">
      <c r="A23" s="29">
        <v>180</v>
      </c>
      <c r="B23" s="29">
        <f t="shared" si="3"/>
        <v>1.198931671196668</v>
      </c>
      <c r="C23" s="30">
        <f t="shared" si="2"/>
        <v>3</v>
      </c>
      <c r="F23" s="29"/>
      <c r="G23" s="29"/>
      <c r="H23" s="29"/>
    </row>
    <row r="24" spans="1:8" x14ac:dyDescent="0.2">
      <c r="A24" s="29">
        <v>360</v>
      </c>
      <c r="B24" s="29">
        <f t="shared" si="3"/>
        <v>0.64385846838608618</v>
      </c>
      <c r="C24" s="30">
        <f t="shared" si="2"/>
        <v>6</v>
      </c>
      <c r="F24" s="29"/>
      <c r="G24" s="33"/>
      <c r="H24" s="33"/>
    </row>
    <row r="25" spans="1:8" x14ac:dyDescent="0.2">
      <c r="A25" s="29">
        <v>840</v>
      </c>
      <c r="B25" s="29">
        <f t="shared" si="3"/>
        <v>0.28701642251486142</v>
      </c>
      <c r="C25" s="30">
        <f t="shared" si="2"/>
        <v>14</v>
      </c>
      <c r="F25" s="29"/>
      <c r="G25" s="9"/>
      <c r="H25" s="9"/>
    </row>
    <row r="26" spans="1:8" x14ac:dyDescent="0.2">
      <c r="A26" s="29">
        <v>1440</v>
      </c>
      <c r="B26" s="29">
        <f t="shared" si="3"/>
        <v>0.16913166754054446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638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638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145</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49.011633437975455</v>
      </c>
      <c r="E4" s="29" t="s">
        <v>137</v>
      </c>
      <c r="F4" s="29"/>
      <c r="G4" s="29"/>
      <c r="H4" s="29"/>
      <c r="J4" s="201"/>
      <c r="K4" s="201"/>
      <c r="L4" s="201"/>
    </row>
    <row r="5" spans="1:12" x14ac:dyDescent="0.2">
      <c r="A5" s="205" t="s">
        <v>138</v>
      </c>
      <c r="B5" s="206"/>
      <c r="C5" s="206"/>
      <c r="D5" s="117">
        <f>'tc-post'!F47</f>
        <v>49.011633437975455</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239.15087</v>
      </c>
      <c r="C9" s="30">
        <v>35.796199999999999</v>
      </c>
      <c r="D9" s="30">
        <v>1.0367</v>
      </c>
      <c r="E9" s="29"/>
      <c r="F9" s="29"/>
      <c r="G9" s="9">
        <f t="shared" ref="G9:G14" si="0">B9/(C9+$D$4)^D9</f>
        <v>2.3958652942653647</v>
      </c>
      <c r="H9" s="9">
        <f t="shared" ref="H9:H14" si="1">B9/(C9+$D$5)^D9</f>
        <v>2.3958652942653647</v>
      </c>
      <c r="J9" s="29"/>
      <c r="K9" s="29"/>
      <c r="L9" s="30"/>
    </row>
    <row r="10" spans="1:12" x14ac:dyDescent="0.2">
      <c r="A10" s="31">
        <v>5</v>
      </c>
      <c r="B10" s="34">
        <v>254.34352000000001</v>
      </c>
      <c r="C10" s="30">
        <v>33.392789999999998</v>
      </c>
      <c r="D10" s="30">
        <v>1.02176</v>
      </c>
      <c r="E10" s="29"/>
      <c r="F10" s="29"/>
      <c r="G10" s="9">
        <f t="shared" si="0"/>
        <v>2.8040068414463692</v>
      </c>
      <c r="H10" s="9">
        <f t="shared" si="1"/>
        <v>2.8040068414463692</v>
      </c>
      <c r="J10" s="29"/>
      <c r="K10" s="29"/>
      <c r="L10" s="30"/>
    </row>
    <row r="11" spans="1:12" x14ac:dyDescent="0.2">
      <c r="A11" s="31">
        <v>10</v>
      </c>
      <c r="B11" s="34">
        <v>264.4948</v>
      </c>
      <c r="C11" s="30">
        <v>31.854520000000001</v>
      </c>
      <c r="D11" s="30">
        <v>1.01196</v>
      </c>
      <c r="E11" s="29"/>
      <c r="F11" s="29"/>
      <c r="G11" s="35">
        <f t="shared" si="0"/>
        <v>3.1033693167254079</v>
      </c>
      <c r="H11" s="118">
        <f t="shared" si="1"/>
        <v>3.1033693167254079</v>
      </c>
      <c r="J11" s="29"/>
      <c r="K11" s="29"/>
      <c r="L11" s="30"/>
    </row>
    <row r="12" spans="1:12" x14ac:dyDescent="0.2">
      <c r="A12" s="31">
        <v>25</v>
      </c>
      <c r="B12" s="34">
        <v>277.53223000000003</v>
      </c>
      <c r="C12" s="30">
        <v>29.921430000000001</v>
      </c>
      <c r="D12" s="30">
        <v>0.99948999999999999</v>
      </c>
      <c r="E12" s="29"/>
      <c r="F12" s="29"/>
      <c r="G12" s="9">
        <f t="shared" si="0"/>
        <v>3.5238877749270743</v>
      </c>
      <c r="H12" s="9">
        <f t="shared" si="1"/>
        <v>3.5238877749270743</v>
      </c>
      <c r="J12" s="29"/>
      <c r="K12" s="29"/>
      <c r="L12" s="30"/>
    </row>
    <row r="13" spans="1:12" x14ac:dyDescent="0.2">
      <c r="A13" s="31">
        <v>50</v>
      </c>
      <c r="B13" s="34">
        <v>286.92505999999997</v>
      </c>
      <c r="C13" s="30">
        <v>28.528970000000001</v>
      </c>
      <c r="D13" s="30">
        <v>0.99051</v>
      </c>
      <c r="E13" s="29"/>
      <c r="F13" s="29"/>
      <c r="G13" s="9">
        <f t="shared" si="0"/>
        <v>3.8563011025432332</v>
      </c>
      <c r="H13" s="9">
        <f t="shared" si="1"/>
        <v>3.8563011025432332</v>
      </c>
    </row>
    <row r="14" spans="1:12" x14ac:dyDescent="0.2">
      <c r="A14" s="31">
        <v>100</v>
      </c>
      <c r="B14" s="34">
        <v>295.10935000000001</v>
      </c>
      <c r="C14" s="30">
        <v>27.28867</v>
      </c>
      <c r="D14" s="30">
        <v>0.98262000000000005</v>
      </c>
      <c r="E14" s="29"/>
      <c r="F14" s="29"/>
      <c r="G14" s="9">
        <f t="shared" si="0"/>
        <v>4.1703740633075954</v>
      </c>
      <c r="H14" s="9">
        <f t="shared" si="1"/>
        <v>4.1703740633075954</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6.8737091141681477</v>
      </c>
      <c r="C19" s="30">
        <f t="shared" ref="C19:C26" si="2">A19/60</f>
        <v>8.3333333333333329E-2</v>
      </c>
      <c r="F19" s="29"/>
      <c r="G19" s="29"/>
      <c r="H19" s="29"/>
    </row>
    <row r="20" spans="1:8" x14ac:dyDescent="0.2">
      <c r="A20" s="29">
        <v>10</v>
      </c>
      <c r="B20" s="29">
        <f t="shared" ref="B20:B26" si="3">$B$11/($C$11+A20)^$D$11</f>
        <v>6.0433637303489922</v>
      </c>
      <c r="C20" s="30">
        <f t="shared" si="2"/>
        <v>0.16666666666666666</v>
      </c>
      <c r="F20" s="29"/>
      <c r="G20" s="29"/>
      <c r="H20" s="29"/>
    </row>
    <row r="21" spans="1:8" x14ac:dyDescent="0.2">
      <c r="A21" s="29">
        <v>30</v>
      </c>
      <c r="B21" s="29">
        <f t="shared" si="3"/>
        <v>4.0702482165482499</v>
      </c>
      <c r="C21" s="30">
        <f t="shared" si="2"/>
        <v>0.5</v>
      </c>
      <c r="F21" s="29"/>
      <c r="G21" s="29"/>
      <c r="H21" s="29"/>
    </row>
    <row r="22" spans="1:8" x14ac:dyDescent="0.2">
      <c r="A22" s="29">
        <v>60</v>
      </c>
      <c r="B22" s="29">
        <f t="shared" si="3"/>
        <v>2.7279595338466094</v>
      </c>
      <c r="C22" s="30">
        <f t="shared" si="2"/>
        <v>1</v>
      </c>
      <c r="F22" s="29"/>
      <c r="G22" s="29"/>
      <c r="H22" s="29"/>
    </row>
    <row r="23" spans="1:8" x14ac:dyDescent="0.2">
      <c r="A23" s="29">
        <v>180</v>
      </c>
      <c r="B23" s="29">
        <f t="shared" si="3"/>
        <v>1.1710083519513597</v>
      </c>
      <c r="C23" s="30">
        <f t="shared" si="2"/>
        <v>3</v>
      </c>
      <c r="F23" s="29"/>
      <c r="G23" s="29"/>
      <c r="H23" s="29"/>
    </row>
    <row r="24" spans="1:8" x14ac:dyDescent="0.2">
      <c r="A24" s="29">
        <v>360</v>
      </c>
      <c r="B24" s="29">
        <f t="shared" si="3"/>
        <v>0.62846124895784838</v>
      </c>
      <c r="C24" s="30">
        <f t="shared" si="2"/>
        <v>6</v>
      </c>
      <c r="F24" s="29"/>
      <c r="G24" s="33"/>
      <c r="H24" s="33"/>
    </row>
    <row r="25" spans="1:8" x14ac:dyDescent="0.2">
      <c r="A25" s="29">
        <v>840</v>
      </c>
      <c r="B25" s="29">
        <f t="shared" si="3"/>
        <v>0.27977274516839196</v>
      </c>
      <c r="C25" s="30">
        <f t="shared" si="2"/>
        <v>14</v>
      </c>
      <c r="F25" s="29"/>
      <c r="G25" s="9"/>
      <c r="H25" s="9"/>
    </row>
    <row r="26" spans="1:8" x14ac:dyDescent="0.2">
      <c r="A26" s="29">
        <v>1440</v>
      </c>
      <c r="B26" s="29">
        <f t="shared" si="3"/>
        <v>0.16468899838593004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252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25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39</vt:i4>
      </vt:variant>
      <vt:variant>
        <vt:lpstr>Charts</vt:lpstr>
      </vt:variant>
      <vt:variant>
        <vt:i4>4</vt:i4>
      </vt:variant>
      <vt:variant>
        <vt:lpstr>Named Ranges</vt:lpstr>
      </vt:variant>
      <vt:variant>
        <vt:i4>16</vt:i4>
      </vt:variant>
    </vt:vector>
  </HeadingPairs>
  <TitlesOfParts>
    <vt:vector size="59" baseType="lpstr">
      <vt:lpstr>Ref</vt:lpstr>
      <vt:lpstr>Notes</vt:lpstr>
      <vt:lpstr>Rational</vt:lpstr>
      <vt:lpstr>SCS</vt:lpstr>
      <vt:lpstr>tc-pre</vt:lpstr>
      <vt:lpstr>tc-post</vt:lpstr>
      <vt:lpstr>Abbeville</vt:lpstr>
      <vt:lpstr>Aiken</vt:lpstr>
      <vt:lpstr>Anderson</vt:lpstr>
      <vt:lpstr>Berkeley</vt:lpstr>
      <vt:lpstr>Camden</vt:lpstr>
      <vt:lpstr>Charleston</vt:lpstr>
      <vt:lpstr>Cheraw</vt:lpstr>
      <vt:lpstr>Chesterfield</vt:lpstr>
      <vt:lpstr>Columbia</vt:lpstr>
      <vt:lpstr>Florence</vt:lpstr>
      <vt:lpstr>Gaffney</vt:lpstr>
      <vt:lpstr>Georgetown</vt:lpstr>
      <vt:lpstr>Greenville</vt:lpstr>
      <vt:lpstr>Greenwood</vt:lpstr>
      <vt:lpstr>Hilton Head</vt:lpstr>
      <vt:lpstr>Laurens</vt:lpstr>
      <vt:lpstr>Lexington</vt:lpstr>
      <vt:lpstr>McCormick</vt:lpstr>
      <vt:lpstr>Myrtle Beach</vt:lpstr>
      <vt:lpstr>Newberry</vt:lpstr>
      <vt:lpstr>Orangeburg</vt:lpstr>
      <vt:lpstr>Pickens</vt:lpstr>
      <vt:lpstr>Rock Hill</vt:lpstr>
      <vt:lpstr>Spartanburg</vt:lpstr>
      <vt:lpstr>St. George</vt:lpstr>
      <vt:lpstr>Sumter</vt:lpstr>
      <vt:lpstr>Union</vt:lpstr>
      <vt:lpstr>Walhalla</vt:lpstr>
      <vt:lpstr>Rainfall Distribution Coef.</vt:lpstr>
      <vt:lpstr>SCDHEC 24 HR Storm (in.)</vt:lpstr>
      <vt:lpstr>Curve Numbers</vt:lpstr>
      <vt:lpstr>Runoff Coeficients (C)</vt:lpstr>
      <vt:lpstr>Tc - Mannings n</vt:lpstr>
      <vt:lpstr>Abbeville IDF Chart (10 Year)</vt:lpstr>
      <vt:lpstr>Aiken IDF Chart (10 Year)</vt:lpstr>
      <vt:lpstr>Greenville IDF Chart (10 Year)</vt:lpstr>
      <vt:lpstr>Orangeburg IDF Chart (10 Year)</vt:lpstr>
      <vt:lpstr>Counties</vt:lpstr>
      <vt:lpstr>county</vt:lpstr>
      <vt:lpstr>Cover</vt:lpstr>
      <vt:lpstr>Cover1</vt:lpstr>
      <vt:lpstr>desc</vt:lpstr>
      <vt:lpstr>description</vt:lpstr>
      <vt:lpstr>HSG</vt:lpstr>
      <vt:lpstr>n</vt:lpstr>
      <vt:lpstr>percent</vt:lpstr>
      <vt:lpstr>Rational!Print_Area</vt:lpstr>
      <vt:lpstr>SCS!Print_Area</vt:lpstr>
      <vt:lpstr>'tc-pre'!Print_Area</vt:lpstr>
      <vt:lpstr>Rainfall2</vt:lpstr>
      <vt:lpstr>Topo</vt:lpstr>
      <vt:lpstr>Topo2</vt:lpstr>
      <vt:lpstr>YN</vt:lpstr>
    </vt:vector>
  </TitlesOfParts>
  <Company>Florence &amp; Hutcheson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Clint Link</dc:creator>
  <cp:lastModifiedBy>Miller, Tom</cp:lastModifiedBy>
  <cp:lastPrinted>2015-08-31T15:32:58Z</cp:lastPrinted>
  <dcterms:created xsi:type="dcterms:W3CDTF">2003-04-14T14:27:53Z</dcterms:created>
  <dcterms:modified xsi:type="dcterms:W3CDTF">2015-08-31T15:33:03Z</dcterms:modified>
</cp:coreProperties>
</file>