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2" windowWidth="15480" windowHeight="1024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D1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H30" i="2"/>
  <c r="H31" i="7"/>
  <c r="D17" i="2"/>
  <c r="H19" i="2" s="1"/>
  <c r="H20" i="7"/>
  <c r="D176" i="6"/>
  <c r="D174" i="6"/>
  <c r="D172" i="6"/>
  <c r="C68" i="6"/>
  <c r="C157" i="6"/>
  <c r="C69" i="6"/>
  <c r="C161" i="6"/>
  <c r="C160" i="6"/>
  <c r="C70" i="6"/>
  <c r="C158" i="6"/>
  <c r="F128" i="6"/>
  <c r="G24" i="6"/>
  <c r="E43" i="6" s="1"/>
  <c r="D56" i="6" s="1"/>
  <c r="F56" i="6" s="1"/>
  <c r="E81" i="6" s="1"/>
  <c r="G115" i="6"/>
  <c r="E134" i="6" s="1"/>
  <c r="D149" i="6" s="1"/>
  <c r="D107" i="3" l="1"/>
  <c r="D106" i="3"/>
  <c r="D103" i="3"/>
  <c r="D105" i="3"/>
  <c r="D47" i="3"/>
  <c r="D45" i="3"/>
  <c r="D46" i="3"/>
  <c r="D44" i="3"/>
  <c r="D48" i="7"/>
  <c r="E28" i="6" s="1"/>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7" i="2" l="1"/>
  <c r="F47" i="2" s="1"/>
  <c r="D5" i="39" s="1"/>
  <c r="H9" i="39" s="1"/>
  <c r="D5" i="35"/>
  <c r="H13" i="35" s="1"/>
  <c r="D5" i="24"/>
  <c r="H10" i="24" s="1"/>
  <c r="D5" i="18"/>
  <c r="H14" i="18" s="1"/>
  <c r="D5" i="31"/>
  <c r="H10" i="31" s="1"/>
  <c r="F79" i="3"/>
  <c r="D5" i="40"/>
  <c r="H13" i="40" s="1"/>
  <c r="E119" i="6"/>
  <c r="D5" i="20"/>
  <c r="H10" i="20" s="1"/>
  <c r="F48" i="7"/>
  <c r="D4" i="41" s="1"/>
  <c r="G14" i="41" s="1"/>
  <c r="F27" i="3"/>
  <c r="H14" i="39"/>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H12" i="39" l="1"/>
  <c r="D5" i="33"/>
  <c r="H11" i="33" s="1"/>
  <c r="D5" i="30"/>
  <c r="H10" i="30" s="1"/>
  <c r="H10" i="39"/>
  <c r="D5" i="21"/>
  <c r="H9" i="21" s="1"/>
  <c r="D5" i="26"/>
  <c r="H12" i="26" s="1"/>
  <c r="D5" i="36"/>
  <c r="H10" i="36" s="1"/>
  <c r="D5" i="41"/>
  <c r="H9" i="41" s="1"/>
  <c r="D5" i="32"/>
  <c r="H14" i="32" s="1"/>
  <c r="D5" i="25"/>
  <c r="H9" i="25" s="1"/>
  <c r="D5" i="29"/>
  <c r="D5" i="19"/>
  <c r="H12" i="19" s="1"/>
  <c r="D5" i="16"/>
  <c r="H12" i="16" s="1"/>
  <c r="H13" i="39"/>
  <c r="D5" i="34"/>
  <c r="H12" i="34" s="1"/>
  <c r="D5" i="37"/>
  <c r="H14" i="37" s="1"/>
  <c r="D5" i="12"/>
  <c r="H10" i="12" s="1"/>
  <c r="H11" i="39"/>
  <c r="D5" i="14"/>
  <c r="H12" i="14" s="1"/>
  <c r="D5" i="28"/>
  <c r="H14" i="28" s="1"/>
  <c r="D5" i="42"/>
  <c r="H9" i="42" s="1"/>
  <c r="D5" i="22"/>
  <c r="D5" i="38"/>
  <c r="H9" i="38" s="1"/>
  <c r="D5" i="23"/>
  <c r="H11" i="23" s="1"/>
  <c r="D5" i="27"/>
  <c r="H12" i="27" s="1"/>
  <c r="H9" i="29"/>
  <c r="H11" i="25"/>
  <c r="H14" i="38"/>
  <c r="H10" i="25"/>
  <c r="H11" i="38"/>
  <c r="H13" i="27"/>
  <c r="H9" i="18"/>
  <c r="H13" i="31"/>
  <c r="H9" i="24"/>
  <c r="H10" i="40"/>
  <c r="H14" i="25"/>
  <c r="H11" i="29"/>
  <c r="H10" i="27"/>
  <c r="H14" i="22"/>
  <c r="H10" i="38"/>
  <c r="H14" i="27"/>
  <c r="H10" i="26"/>
  <c r="H13" i="36"/>
  <c r="H13" i="20"/>
  <c r="H12" i="20"/>
  <c r="H12" i="24"/>
  <c r="H14" i="35"/>
  <c r="H10" i="34"/>
  <c r="H14" i="12"/>
  <c r="G90" i="3" s="1"/>
  <c r="E107" i="3" s="1"/>
  <c r="H107" i="3" s="1"/>
  <c r="H9" i="33"/>
  <c r="H14" i="30"/>
  <c r="H13" i="41"/>
  <c r="H13" i="30"/>
  <c r="H12" i="30"/>
  <c r="H14" i="34"/>
  <c r="H13" i="33"/>
  <c r="H9" i="30"/>
  <c r="H9" i="28"/>
  <c r="H14" i="26"/>
  <c r="H10" i="41"/>
  <c r="H13" i="12"/>
  <c r="G89" i="3" s="1"/>
  <c r="E106" i="3" s="1"/>
  <c r="H106" i="3" s="1"/>
  <c r="H11" i="34"/>
  <c r="H11" i="35"/>
  <c r="H12" i="33"/>
  <c r="H11" i="30"/>
  <c r="H11" i="12"/>
  <c r="G87" i="3" s="1"/>
  <c r="E104" i="3" s="1"/>
  <c r="H104" i="3" s="1"/>
  <c r="E113" i="3" s="1"/>
  <c r="H10" i="35"/>
  <c r="H13" i="18"/>
  <c r="H9" i="20"/>
  <c r="H11" i="40"/>
  <c r="H9" i="31"/>
  <c r="H13" i="24"/>
  <c r="H10" i="14"/>
  <c r="H9" i="26"/>
  <c r="H9" i="36"/>
  <c r="H12" i="18"/>
  <c r="H14" i="40"/>
  <c r="H12" i="28"/>
  <c r="H12" i="31"/>
  <c r="H12" i="36"/>
  <c r="H13" i="42"/>
  <c r="H12" i="35"/>
  <c r="H9" i="35"/>
  <c r="H11" i="18"/>
  <c r="H10" i="18"/>
  <c r="H14" i="20"/>
  <c r="H12" i="40"/>
  <c r="H9" i="40"/>
  <c r="H13" i="21"/>
  <c r="H14" i="31"/>
  <c r="H11" i="31"/>
  <c r="H14" i="24"/>
  <c r="H11" i="24"/>
  <c r="H9" i="14"/>
  <c r="H11" i="26"/>
  <c r="H14" i="36"/>
  <c r="H11" i="36"/>
  <c r="H11" i="20"/>
  <c r="H13" i="14"/>
  <c r="H13" i="26"/>
  <c r="H9" i="34"/>
  <c r="H13" i="22"/>
  <c r="H12" i="22"/>
  <c r="H10" i="33"/>
  <c r="H13" i="25"/>
  <c r="H12" i="25"/>
  <c r="H11" i="32"/>
  <c r="H13" i="38"/>
  <c r="H13" i="34"/>
  <c r="H14" i="33"/>
  <c r="H12" i="38"/>
  <c r="H12" i="32"/>
  <c r="H13" i="32"/>
  <c r="H10" i="32"/>
  <c r="H9" i="32"/>
  <c r="D4" i="18"/>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U67" i="6"/>
  <c r="M67" i="6"/>
  <c r="P67" i="6"/>
  <c r="V67" i="6"/>
  <c r="S67" i="6"/>
  <c r="D4" i="27"/>
  <c r="G12" i="27" s="1"/>
  <c r="D4" i="36"/>
  <c r="G11" i="36" s="1"/>
  <c r="D4" i="25"/>
  <c r="G10" i="25" s="1"/>
  <c r="D4" i="16"/>
  <c r="G12" i="16" s="1"/>
  <c r="G10" i="18"/>
  <c r="P70" i="6"/>
  <c r="O70" i="6"/>
  <c r="N70" i="6"/>
  <c r="Q70" i="6"/>
  <c r="P157" i="6"/>
  <c r="P66" i="6"/>
  <c r="V70" i="6"/>
  <c r="U70" i="6"/>
  <c r="T70" i="6"/>
  <c r="L70" i="6"/>
  <c r="K70" i="6"/>
  <c r="G13" i="18"/>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H10" i="16" l="1"/>
  <c r="H10" i="28"/>
  <c r="H10" i="21"/>
  <c r="H14" i="41"/>
  <c r="H10" i="37"/>
  <c r="H10" i="23"/>
  <c r="H13" i="23"/>
  <c r="H9" i="23"/>
  <c r="H12" i="23"/>
  <c r="H14" i="16"/>
  <c r="H11" i="28"/>
  <c r="H13" i="28"/>
  <c r="H11" i="21"/>
  <c r="H9" i="12"/>
  <c r="G86" i="3" s="1"/>
  <c r="E103" i="3" s="1"/>
  <c r="H103" i="3" s="1"/>
  <c r="E112" i="3" s="1"/>
  <c r="H14" i="23"/>
  <c r="H9" i="22"/>
  <c r="H10" i="22"/>
  <c r="H11" i="22"/>
  <c r="H11" i="16"/>
  <c r="H9" i="16"/>
  <c r="H13" i="16"/>
  <c r="H11" i="42"/>
  <c r="H9" i="37"/>
  <c r="H11" i="37"/>
  <c r="H9" i="19"/>
  <c r="H11" i="19"/>
  <c r="H14" i="19"/>
  <c r="H10" i="19"/>
  <c r="H12" i="21"/>
  <c r="H12" i="37"/>
  <c r="H11" i="41"/>
  <c r="H12" i="41"/>
  <c r="H10" i="29"/>
  <c r="H13" i="29"/>
  <c r="H11" i="14"/>
  <c r="H12" i="12"/>
  <c r="G88" i="3" s="1"/>
  <c r="E105" i="3" s="1"/>
  <c r="H105" i="3" s="1"/>
  <c r="H13" i="37"/>
  <c r="H14" i="14"/>
  <c r="H10" i="42"/>
  <c r="H14" i="29"/>
  <c r="H12" i="29"/>
  <c r="H12" i="42"/>
  <c r="H14" i="42"/>
  <c r="H14" i="21"/>
  <c r="H13" i="19"/>
  <c r="H11" i="27"/>
  <c r="H9" i="27"/>
  <c r="G14" i="26"/>
  <c r="G14" i="18"/>
  <c r="G14" i="34"/>
  <c r="G11" i="18"/>
  <c r="G10" i="34"/>
  <c r="G11" i="20"/>
  <c r="G11" i="14"/>
  <c r="G13" i="37"/>
  <c r="G10" i="40"/>
  <c r="G14" i="14"/>
  <c r="G9" i="18"/>
  <c r="G14" i="28"/>
  <c r="G13" i="20"/>
  <c r="G9" i="20"/>
  <c r="G14" i="35"/>
  <c r="G10" i="20"/>
  <c r="G13" i="26"/>
  <c r="G14" i="20"/>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F112" i="3" l="1"/>
  <c r="G112" i="3" s="1"/>
  <c r="E184" i="6"/>
  <c r="F184" i="6" s="1"/>
  <c r="E185" i="6"/>
  <c r="F185" i="6" s="1"/>
  <c r="E181" i="6"/>
  <c r="F181" i="6" s="1"/>
</calcChain>
</file>

<file path=xl/sharedStrings.xml><?xml version="1.0" encoding="utf-8"?>
<sst xmlns="http://schemas.openxmlformats.org/spreadsheetml/2006/main" count="1223" uniqueCount="432">
  <si>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</si>
  <si>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</si>
  <si>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</si>
  <si>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</si>
  <si>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</si>
  <si>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</si>
  <si>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</si>
  <si>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</si>
  <si>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</si>
  <si>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</si>
  <si>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</si>
  <si>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</si>
  <si>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</si>
  <si>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</si>
  <si>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</si>
  <si>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</si>
  <si>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</si>
  <si>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</si>
  <si>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</si>
  <si>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</si>
  <si>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</si>
  <si>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</si>
  <si>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</si>
  <si>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</si>
  <si>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</si>
  <si>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</si>
  <si>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</si>
  <si>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</si>
  <si>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</si>
  <si>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</si>
  <si>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</si>
  <si>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</si>
  <si>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</si>
  <si>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</si>
  <si>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</si>
  <si>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</si>
  <si>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</si>
  <si>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</si>
  <si>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</si>
  <si>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</si>
  <si>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</si>
  <si>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</si>
  <si>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</si>
  <si>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</si>
  <si>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</si>
  <si>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</si>
  <si>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</si>
  <si>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</si>
  <si>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</si>
  <si>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</si>
  <si>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</si>
  <si>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</si>
  <si>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</si>
  <si>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</si>
  <si>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</si>
  <si>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</si>
  <si>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</si>
  <si>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</si>
  <si>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</si>
  <si>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</si>
  <si>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</si>
  <si>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</si>
  <si>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</si>
  <si>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</si>
  <si>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</si>
  <si>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</si>
  <si>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</si>
  <si>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</si>
  <si>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</si>
  <si>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</si>
  <si>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</si>
  <si>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</si>
  <si>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</si>
  <si>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</si>
  <si>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</si>
  <si>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</si>
  <si>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</si>
  <si>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</si>
  <si>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</si>
  <si>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</si>
  <si>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</si>
  <si>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</si>
  <si>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</si>
  <si>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</si>
  <si>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</si>
  <si>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</si>
  <si>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</si>
  <si>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</si>
  <si>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</si>
  <si>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</si>
  <si>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</si>
  <si>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</si>
  <si>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</si>
  <si>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</si>
  <si>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</si>
  <si>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</si>
  <si>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</si>
  <si>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</si>
  <si>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</si>
  <si>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</si>
  <si>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</si>
  <si>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</si>
  <si>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</si>
  <si>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</si>
  <si>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</si>
  <si>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</si>
  <si>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</si>
  <si>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</si>
  <si>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</si>
  <si>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</si>
  <si>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</si>
  <si>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</si>
  <si>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</si>
  <si>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</si>
  <si>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</si>
  <si>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</si>
  <si>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</si>
  <si>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</si>
  <si>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</si>
  <si>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</si>
  <si>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</si>
  <si>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</si>
  <si>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</si>
  <si>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</si>
  <si>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</si>
  <si>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</si>
  <si>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</si>
  <si>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</si>
  <si>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</si>
  <si>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</si>
  <si>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</si>
  <si>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</si>
  <si>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</si>
  <si>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</si>
  <si>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</si>
  <si>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</si>
  <si>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</si>
  <si>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</si>
  <si>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</si>
  <si>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</si>
  <si>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</si>
  <si>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</si>
  <si>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</si>
  <si>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</si>
  <si>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</si>
  <si>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</si>
  <si>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</si>
  <si>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</si>
  <si>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</si>
  <si>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</si>
  <si>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</si>
  <si>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</si>
  <si>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</si>
  <si>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</si>
  <si>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</si>
  <si>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</si>
  <si>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</si>
  <si>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</si>
  <si>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</si>
  <si>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</si>
  <si>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</si>
  <si>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</si>
  <si>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</si>
  <si>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</si>
  <si>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</si>
  <si>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</si>
  <si>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</si>
  <si>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</si>
  <si>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</si>
  <si>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</si>
  <si>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</si>
  <si>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</si>
  <si>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</si>
  <si>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</si>
  <si>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</si>
  <si>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</si>
  <si>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</si>
  <si>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</si>
  <si>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</si>
  <si>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</si>
  <si>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</si>
  <si>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</si>
  <si>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</si>
  <si>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</si>
  <si>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</si>
  <si>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</si>
  <si>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</si>
  <si>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</si>
  <si>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</si>
  <si>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</si>
  <si>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</si>
  <si>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</si>
  <si>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</si>
  <si>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</si>
  <si>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</si>
  <si>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</si>
  <si>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</si>
  <si>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</si>
  <si>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</si>
  <si>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</si>
  <si>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</si>
  <si>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</si>
  <si>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</si>
  <si>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</si>
  <si>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</si>
  <si>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</si>
  <si>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</si>
  <si>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</si>
  <si>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</si>
  <si>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</si>
  <si>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</si>
  <si>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</si>
  <si>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</si>
  <si>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</si>
  <si>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</si>
  <si>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</si>
  <si>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</si>
  <si>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</si>
  <si>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</si>
  <si>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</si>
  <si>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</si>
  <si>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</si>
  <si>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</si>
  <si>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</si>
  <si>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</si>
  <si>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</si>
  <si>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</si>
  <si>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</si>
  <si>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</si>
  <si>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</si>
  <si>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</si>
  <si>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</si>
  <si>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</si>
  <si>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</si>
  <si>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</si>
  <si>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</si>
  <si>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</si>
  <si>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</si>
  <si>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</si>
  <si>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</si>
  <si>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</si>
  <si>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</si>
  <si>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</si>
  <si>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</si>
  <si>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</si>
  <si>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</si>
  <si>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</si>
  <si>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</si>
  <si>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</si>
  <si>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</si>
  <si>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</si>
  <si>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</si>
  <si>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</si>
  <si>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</si>
  <si>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</si>
  <si>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</si>
  <si>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</si>
  <si>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</si>
  <si>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</si>
  <si>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</si>
  <si>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</si>
  <si>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</si>
  <si>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</si>
  <si>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</si>
  <si>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</si>
  <si>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</si>
  <si>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</si>
  <si>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</si>
  <si>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</si>
  <si>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</si>
  <si>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</si>
  <si>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</si>
  <si>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</si>
  <si>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</si>
  <si>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</si>
  <si>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</si>
  <si>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</si>
  <si>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</si>
  <si>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</si>
  <si>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</si>
  <si>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</si>
  <si>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</si>
  <si>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</si>
  <si>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</si>
  <si>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</si>
  <si>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</si>
  <si>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</si>
  <si>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</si>
  <si>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</si>
  <si>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</si>
  <si>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</si>
  <si>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</si>
  <si>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</si>
  <si>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</si>
  <si>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</si>
  <si>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</si>
  <si>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</si>
  <si>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</si>
  <si>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</si>
  <si>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</si>
  <si>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</si>
  <si>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</si>
  <si>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</si>
  <si>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</si>
  <si>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</si>
  <si>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</si>
  <si>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</si>
  <si>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</si>
  <si>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</si>
  <si>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</si>
  <si>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</si>
  <si>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</si>
  <si>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</si>
  <si>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</si>
  <si>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</si>
  <si>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</si>
  <si>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</si>
  <si>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</si>
  <si>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</si>
  <si>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</si>
  <si>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</si>
  <si>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</si>
  <si>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</si>
  <si>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</si>
  <si>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</si>
  <si>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</si>
  <si>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</si>
  <si>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</si>
  <si>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</si>
  <si>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</si>
  <si>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</si>
  <si>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</si>
  <si>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</si>
  <si>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</si>
  <si>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</si>
  <si>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</si>
  <si>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</si>
  <si>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</si>
  <si>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</si>
  <si>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</si>
  <si>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</si>
  <si>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</si>
  <si>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</si>
  <si>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</si>
  <si>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</si>
  <si>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</si>
  <si>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</si>
  <si>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</si>
  <si>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</si>
  <si>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</si>
  <si>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</si>
  <si>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</si>
  <si>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</si>
  <si>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</si>
  <si>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</si>
  <si>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</si>
  <si>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</si>
  <si>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</si>
  <si>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</si>
  <si>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</si>
  <si>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</si>
  <si>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</si>
  <si>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</si>
  <si>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</si>
  <si>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</si>
  <si>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</si>
  <si>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</si>
  <si>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</si>
  <si>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</si>
  <si>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</si>
  <si>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</si>
  <si>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</si>
  <si>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</si>
  <si>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</si>
  <si>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</si>
  <si>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</si>
  <si>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</si>
  <si>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</si>
  <si>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</si>
  <si>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</si>
  <si>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</si>
  <si>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</si>
  <si>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</si>
  <si>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</si>
  <si>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</si>
  <si>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</si>
  <si>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</si>
  <si>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</si>
  <si>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</si>
  <si>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</si>
  <si>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</si>
  <si>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</si>
  <si>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</si>
  <si>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</si>
  <si>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</si>
  <si>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</si>
  <si>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</si>
  <si>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</si>
  <si>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</si>
  <si>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</si>
  <si>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</si>
  <si>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</si>
  <si>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</si>
  <si>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</si>
  <si>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</si>
  <si>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</si>
  <si>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</si>
  <si>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</si>
  <si>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</si>
  <si>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</si>
  <si>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</si>
  <si>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</si>
  <si>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</si>
  <si>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</si>
  <si>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</si>
  <si>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</si>
  <si>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</si>
  <si>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</si>
  <si>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</si>
  <si>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#30</t>
  </si>
  <si>
    <t>The widening will take place from S.C. Route 378 to Longs Pond Road which is approximately 14 miles. The existing watersheds along the interstate are primarily developed areas along with large wooded areas. The total drainage area to Outfall #30 is approximately 40 acres. The existing watershed includes, grassed areas, large wooded areas, and paved areas adjacent to U.S. Route 20. The soils in the watershed are classified as Hydrologic Soil Group A.</t>
  </si>
  <si>
    <t xml:space="preserve">The proposed construction within the watershed includes pavement addition and drainage reconstruction. The proposed construction results in an increase in impervious area as a result of the addition of traffic lanes on I-20 and drains to Outfall #30. </t>
  </si>
  <si>
    <t>The increased flows are a result of the proposed addition of pavement and will drain to Outfall #30.  However the drainage area remains approximately the same.</t>
  </si>
  <si>
    <t>Runoff from the existing watershed sheet flows through a large wooded area along U.S. Route 20 and flows across the interstate into an existing concrete outfall ditch.</t>
  </si>
  <si>
    <t>Outfall #25 Rt. Sta. 782+00 (I-20)</t>
  </si>
  <si>
    <t>Outfall ditch</t>
  </si>
  <si>
    <t>The widening will take place from U.S. Route 378 to Longs Pond Road which is approximately 14 miles. The existing watersheds along the interstate are primarily developed areas along with large wooded areas. The total drainage area to Outfall #25 is approximately 40 acres. The existing watershed includes, grassed areas, large wooded areas, and paved areas adjacent to I-20.</t>
  </si>
  <si>
    <t>Runoff from the existing watershed flows overland to a crossing at approx. Sta. 782+00 along I-20 and discharges into an outfall ditch.</t>
  </si>
  <si>
    <t xml:space="preserve">The proposed construction within the watershed includes pavement addition. The proposed construction results in an increase in impervious area as a result of the addition of traffic lanes on I-20 and drains to Outfall #25. </t>
  </si>
  <si>
    <t xml:space="preserve">The increased flows are a result of the proposed addition of pavement and will drain to Outfall #25.  However the drainage area remains approximately the same. The additional 2.56 cfs runoff for the 10-year design storm will be collected by an existing crossing and conveyed to the outfall.  The additional pavement will have no significant adverse effect downstream of the outfall.  No additional detention is necessary in this area.  </t>
  </si>
  <si>
    <t>Sta. 782+00</t>
  </si>
  <si>
    <t>9/1/2015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</si>
</sst>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 fillId="3" borderId="0" xfId="0" applyFont="1" applyFill="1" applyAlignment="1" applyProtection="1">
      <alignment horizontal="center"/>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3710720"/>
        <c:axId val="175277568"/>
      </c:scatterChart>
      <c:valAx>
        <c:axId val="1737107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277568"/>
        <c:crosses val="autoZero"/>
        <c:crossBetween val="midCat"/>
      </c:valAx>
      <c:valAx>
        <c:axId val="1752775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7107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5282048"/>
        <c:axId val="175284224"/>
      </c:scatterChart>
      <c:valAx>
        <c:axId val="17528204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284224"/>
        <c:crosses val="autoZero"/>
        <c:crossBetween val="midCat"/>
      </c:valAx>
      <c:valAx>
        <c:axId val="17528422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28204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8344320"/>
        <c:axId val="178346240"/>
      </c:scatterChart>
      <c:valAx>
        <c:axId val="1783443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346240"/>
        <c:crosses val="autoZero"/>
        <c:crossBetween val="midCat"/>
      </c:valAx>
      <c:valAx>
        <c:axId val="17834624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3443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8470272"/>
        <c:axId val="179131904"/>
      </c:scatterChart>
      <c:valAx>
        <c:axId val="1784702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9131904"/>
        <c:crosses val="autoZero"/>
        <c:crossBetween val="midCat"/>
      </c:valAx>
      <c:valAx>
        <c:axId val="17913190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4702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146</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1.9511716481773742</v>
      </c>
      <c r="H9" s="9">
        <f t="shared" ref="H9:H14" si="1">B9/(C9+$D$5)^D9</f>
        <v>1.9511716481773742</v>
      </c>
      <c r="J9" s="29"/>
      <c r="K9" s="29"/>
      <c r="L9" s="30"/>
    </row>
    <row r="10" spans="1:12" x14ac:dyDescent="0.25">
      <c r="A10" s="31">
        <v>5</v>
      </c>
      <c r="B10" s="34">
        <v>261.13655</v>
      </c>
      <c r="C10" s="30">
        <v>32.358699999999999</v>
      </c>
      <c r="D10" s="30">
        <v>1.01519</v>
      </c>
      <c r="E10" s="29"/>
      <c r="F10" s="29"/>
      <c r="G10" s="9">
        <f t="shared" si="0"/>
        <v>2.1937322357988807</v>
      </c>
      <c r="H10" s="9">
        <f t="shared" si="1"/>
        <v>2.1937322357988807</v>
      </c>
      <c r="J10" s="29"/>
      <c r="K10" s="29"/>
      <c r="L10" s="30"/>
    </row>
    <row r="11" spans="1:12" x14ac:dyDescent="0.25">
      <c r="A11" s="31">
        <v>10</v>
      </c>
      <c r="B11" s="34">
        <v>269.52906000000002</v>
      </c>
      <c r="C11" s="30">
        <v>31.104620000000001</v>
      </c>
      <c r="D11" s="30">
        <v>1.0071399999999999</v>
      </c>
      <c r="E11" s="29"/>
      <c r="F11" s="29"/>
      <c r="G11" s="35">
        <f t="shared" si="0"/>
        <v>2.3788039247178148</v>
      </c>
      <c r="H11" s="117">
        <f t="shared" si="1"/>
        <v>2.3788039247178148</v>
      </c>
      <c r="J11" s="29"/>
      <c r="K11" s="29"/>
      <c r="L11" s="30"/>
    </row>
    <row r="12" spans="1:12" x14ac:dyDescent="0.25">
      <c r="A12" s="31">
        <v>25</v>
      </c>
      <c r="B12" s="34">
        <v>281.11392999999998</v>
      </c>
      <c r="C12" s="30">
        <v>29.392219999999998</v>
      </c>
      <c r="D12" s="30">
        <v>0.99607000000000001</v>
      </c>
      <c r="E12" s="29"/>
      <c r="F12" s="29"/>
      <c r="G12" s="9">
        <f t="shared" si="0"/>
        <v>2.6547820087575782</v>
      </c>
      <c r="H12" s="9">
        <f t="shared" si="1"/>
        <v>2.6547820087575782</v>
      </c>
      <c r="J12" s="29"/>
      <c r="K12" s="29"/>
      <c r="L12" s="30"/>
    </row>
    <row r="13" spans="1:12" x14ac:dyDescent="0.25">
      <c r="A13" s="31">
        <v>50</v>
      </c>
      <c r="B13" s="34">
        <v>289.29525999999998</v>
      </c>
      <c r="C13" s="30">
        <v>28.173349999999999</v>
      </c>
      <c r="D13" s="30">
        <v>0.98823000000000005</v>
      </c>
      <c r="E13" s="29"/>
      <c r="F13" s="29"/>
      <c r="G13" s="9">
        <f t="shared" si="0"/>
        <v>2.8661775441164332</v>
      </c>
      <c r="H13" s="9">
        <f t="shared" si="1"/>
        <v>2.8661775441164332</v>
      </c>
    </row>
    <row r="14" spans="1:12" x14ac:dyDescent="0.25">
      <c r="A14" s="31">
        <v>100</v>
      </c>
      <c r="B14" s="34">
        <v>296.80041999999997</v>
      </c>
      <c r="C14" s="30">
        <v>27.025970000000001</v>
      </c>
      <c r="D14" s="30">
        <v>0.98097000000000001</v>
      </c>
      <c r="E14" s="29"/>
      <c r="F14" s="29"/>
      <c r="G14" s="9">
        <f t="shared" si="0"/>
        <v>3.0743809623826093</v>
      </c>
      <c r="H14" s="9">
        <f t="shared" si="1"/>
        <v>3.0743809623826093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147</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1.8388919344544401</v>
      </c>
      <c r="H9" s="9">
        <f t="shared" ref="H9:H14" si="1">B9/(C9+$D$5)^D9</f>
        <v>1.8388919344544401</v>
      </c>
      <c r="J9" s="29"/>
      <c r="K9" s="29"/>
      <c r="L9" s="30"/>
    </row>
    <row r="10" spans="1:12" x14ac:dyDescent="0.25">
      <c r="A10" s="31">
        <v>5</v>
      </c>
      <c r="B10" s="34">
        <v>257.07785999999999</v>
      </c>
      <c r="C10" s="30">
        <v>32.97428</v>
      </c>
      <c r="D10" s="30">
        <v>1.01911</v>
      </c>
      <c r="E10" s="29"/>
      <c r="F10" s="29"/>
      <c r="G10" s="9">
        <f t="shared" si="0"/>
        <v>2.1082108105370607</v>
      </c>
      <c r="H10" s="9">
        <f t="shared" si="1"/>
        <v>2.1082108105370607</v>
      </c>
      <c r="J10" s="29"/>
      <c r="K10" s="29"/>
      <c r="L10" s="30"/>
    </row>
    <row r="11" spans="1:12" x14ac:dyDescent="0.25">
      <c r="A11" s="31">
        <v>10</v>
      </c>
      <c r="B11" s="34">
        <v>266.55779000000001</v>
      </c>
      <c r="C11" s="30">
        <v>31.546500000000002</v>
      </c>
      <c r="D11" s="30">
        <v>1.0099800000000001</v>
      </c>
      <c r="E11" s="29"/>
      <c r="F11" s="29"/>
      <c r="G11" s="35">
        <f t="shared" si="0"/>
        <v>2.3119919923108947</v>
      </c>
      <c r="H11" s="117">
        <f t="shared" si="1"/>
        <v>2.3119919923108947</v>
      </c>
      <c r="J11" s="29"/>
      <c r="K11" s="29"/>
      <c r="L11" s="30"/>
    </row>
    <row r="12" spans="1:12" x14ac:dyDescent="0.25">
      <c r="A12" s="31">
        <v>25</v>
      </c>
      <c r="B12" s="34">
        <v>278.96244000000002</v>
      </c>
      <c r="C12" s="30">
        <v>29.710239999999999</v>
      </c>
      <c r="D12" s="30">
        <v>0.99812999999999996</v>
      </c>
      <c r="E12" s="29"/>
      <c r="F12" s="29"/>
      <c r="G12" s="9">
        <f t="shared" si="0"/>
        <v>2.6015267918162936</v>
      </c>
      <c r="H12" s="9">
        <f t="shared" si="1"/>
        <v>2.6015267918162936</v>
      </c>
      <c r="J12" s="29"/>
      <c r="K12" s="29"/>
      <c r="L12" s="30"/>
    </row>
    <row r="13" spans="1:12" x14ac:dyDescent="0.25">
      <c r="A13" s="31">
        <v>50</v>
      </c>
      <c r="B13" s="34">
        <v>287.88720999999998</v>
      </c>
      <c r="C13" s="30">
        <v>28.385120000000001</v>
      </c>
      <c r="D13" s="30">
        <v>0.98958999999999997</v>
      </c>
      <c r="E13" s="29"/>
      <c r="F13" s="29"/>
      <c r="G13" s="9">
        <f t="shared" si="0"/>
        <v>2.8286130934544764</v>
      </c>
      <c r="H13" s="9">
        <f t="shared" si="1"/>
        <v>2.8286130934544764</v>
      </c>
    </row>
    <row r="14" spans="1:12" x14ac:dyDescent="0.25">
      <c r="A14" s="31">
        <v>100</v>
      </c>
      <c r="B14" s="34">
        <v>295.79777999999999</v>
      </c>
      <c r="C14" s="30">
        <v>27.182759999999998</v>
      </c>
      <c r="D14" s="30">
        <v>0.98194999999999999</v>
      </c>
      <c r="E14" s="29"/>
      <c r="F14" s="29"/>
      <c r="G14" s="9">
        <f t="shared" si="0"/>
        <v>3.0455936742867467</v>
      </c>
      <c r="H14" s="9">
        <f t="shared" si="1"/>
        <v>3.0455936742867467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148</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2.0044645961859091</v>
      </c>
      <c r="H9" s="9">
        <f t="shared" ref="H9:H14" si="1">B9/(C9+$D$5)^D9</f>
        <v>2.0044645961859091</v>
      </c>
      <c r="J9" s="29"/>
      <c r="K9" s="29"/>
      <c r="L9" s="30"/>
    </row>
    <row r="10" spans="1:12" x14ac:dyDescent="0.25">
      <c r="A10" s="31">
        <v>5</v>
      </c>
      <c r="B10" s="34">
        <v>262.87945999999999</v>
      </c>
      <c r="C10" s="30">
        <v>32.09639</v>
      </c>
      <c r="D10" s="30">
        <v>1.0135099999999999</v>
      </c>
      <c r="E10" s="29"/>
      <c r="F10" s="29"/>
      <c r="G10" s="9">
        <f t="shared" si="0"/>
        <v>2.2312624450120229</v>
      </c>
      <c r="H10" s="9">
        <f t="shared" si="1"/>
        <v>2.2312624450120229</v>
      </c>
      <c r="J10" s="29"/>
      <c r="K10" s="29"/>
      <c r="L10" s="30"/>
    </row>
    <row r="11" spans="1:12" x14ac:dyDescent="0.25">
      <c r="A11" s="31">
        <v>10</v>
      </c>
      <c r="B11" s="34">
        <v>270.85088000000002</v>
      </c>
      <c r="C11" s="30">
        <v>30.90869</v>
      </c>
      <c r="D11" s="30">
        <v>1.00587</v>
      </c>
      <c r="E11" s="29"/>
      <c r="F11" s="29"/>
      <c r="G11" s="35">
        <f t="shared" si="0"/>
        <v>2.4091040869957863</v>
      </c>
      <c r="H11" s="117">
        <f t="shared" si="1"/>
        <v>2.4091040869957863</v>
      </c>
      <c r="J11" s="29"/>
      <c r="K11" s="29"/>
      <c r="L11" s="30"/>
    </row>
    <row r="12" spans="1:12" x14ac:dyDescent="0.25">
      <c r="A12" s="31">
        <v>25</v>
      </c>
      <c r="B12" s="34">
        <v>282.02145000000002</v>
      </c>
      <c r="C12" s="30">
        <v>29.25788</v>
      </c>
      <c r="D12" s="30">
        <v>0.99519999999999997</v>
      </c>
      <c r="E12" s="29"/>
      <c r="F12" s="29"/>
      <c r="G12" s="9">
        <f t="shared" si="0"/>
        <v>2.6775395212712825</v>
      </c>
      <c r="H12" s="9">
        <f t="shared" si="1"/>
        <v>2.6775395212712825</v>
      </c>
      <c r="J12" s="29"/>
      <c r="K12" s="29"/>
      <c r="L12" s="30"/>
    </row>
    <row r="13" spans="1:12" x14ac:dyDescent="0.25">
      <c r="A13" s="31">
        <v>50</v>
      </c>
      <c r="B13" s="34">
        <v>289.91899000000001</v>
      </c>
      <c r="C13" s="30">
        <v>28.07921</v>
      </c>
      <c r="D13" s="30">
        <v>0.98763000000000001</v>
      </c>
      <c r="E13" s="29"/>
      <c r="F13" s="29"/>
      <c r="G13" s="9">
        <f t="shared" si="0"/>
        <v>2.8829293695646041</v>
      </c>
      <c r="H13" s="9">
        <f t="shared" si="1"/>
        <v>2.8829293695646041</v>
      </c>
    </row>
    <row r="14" spans="1:12" x14ac:dyDescent="0.25">
      <c r="A14" s="31">
        <v>100</v>
      </c>
      <c r="B14" s="34">
        <v>297.13936999999999</v>
      </c>
      <c r="C14" s="30">
        <v>26.972190000000001</v>
      </c>
      <c r="D14" s="30">
        <v>0.98063999999999996</v>
      </c>
      <c r="E14" s="29"/>
      <c r="F14" s="29"/>
      <c r="G14" s="9">
        <f t="shared" si="0"/>
        <v>3.0841692766945981</v>
      </c>
      <c r="H14" s="9">
        <f t="shared" si="1"/>
        <v>3.0841692766945981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149</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1.8908012935144487</v>
      </c>
      <c r="H9" s="9">
        <f t="shared" ref="H9:H14" si="1">B9/(C9+$D$5)^D9</f>
        <v>1.8908012935144487</v>
      </c>
      <c r="J9" s="29"/>
      <c r="K9" s="29"/>
      <c r="L9" s="30"/>
    </row>
    <row r="10" spans="1:12" x14ac:dyDescent="0.25">
      <c r="A10" s="31">
        <v>5</v>
      </c>
      <c r="B10" s="34">
        <v>261.15915999999999</v>
      </c>
      <c r="C10" s="30">
        <v>32.355730000000001</v>
      </c>
      <c r="D10" s="30">
        <v>1.0151699999999999</v>
      </c>
      <c r="E10" s="29"/>
      <c r="F10" s="29"/>
      <c r="G10" s="9">
        <f t="shared" si="0"/>
        <v>2.1941884576931714</v>
      </c>
      <c r="H10" s="9">
        <f t="shared" si="1"/>
        <v>2.1941884576931714</v>
      </c>
      <c r="J10" s="29"/>
      <c r="K10" s="29"/>
      <c r="L10" s="30"/>
    </row>
    <row r="11" spans="1:12" x14ac:dyDescent="0.25">
      <c r="A11" s="31">
        <v>10</v>
      </c>
      <c r="B11" s="34">
        <v>270.24815000000001</v>
      </c>
      <c r="C11" s="30">
        <v>30.998100000000001</v>
      </c>
      <c r="D11" s="30">
        <v>1.0064500000000001</v>
      </c>
      <c r="E11" s="29"/>
      <c r="F11" s="29"/>
      <c r="G11" s="35">
        <f t="shared" si="0"/>
        <v>2.3952359658982969</v>
      </c>
      <c r="H11" s="117">
        <f t="shared" si="1"/>
        <v>2.3952359658982969</v>
      </c>
      <c r="J11" s="29"/>
      <c r="K11" s="29"/>
      <c r="L11" s="30"/>
    </row>
    <row r="12" spans="1:12" x14ac:dyDescent="0.25">
      <c r="A12" s="31">
        <v>25</v>
      </c>
      <c r="B12" s="34">
        <v>281.57326999999998</v>
      </c>
      <c r="C12" s="30">
        <v>29.324300000000001</v>
      </c>
      <c r="D12" s="30">
        <v>0.99563000000000001</v>
      </c>
      <c r="E12" s="29"/>
      <c r="F12" s="29"/>
      <c r="G12" s="9">
        <f t="shared" si="0"/>
        <v>2.6662738524616252</v>
      </c>
      <c r="H12" s="9">
        <f t="shared" si="1"/>
        <v>2.6662738524616252</v>
      </c>
      <c r="J12" s="29"/>
      <c r="K12" s="29"/>
      <c r="L12" s="30"/>
    </row>
    <row r="13" spans="1:12" x14ac:dyDescent="0.25">
      <c r="A13" s="31">
        <v>50</v>
      </c>
      <c r="B13" s="34">
        <v>289.32177999999999</v>
      </c>
      <c r="C13" s="30">
        <v>28.169709999999998</v>
      </c>
      <c r="D13" s="30">
        <v>0.98821000000000003</v>
      </c>
      <c r="E13" s="29"/>
      <c r="F13" s="29"/>
      <c r="G13" s="9">
        <f t="shared" si="0"/>
        <v>2.8668046983202791</v>
      </c>
      <c r="H13" s="9">
        <f t="shared" si="1"/>
        <v>2.8668046983202791</v>
      </c>
    </row>
    <row r="14" spans="1:12" x14ac:dyDescent="0.25">
      <c r="A14" s="31">
        <v>100</v>
      </c>
      <c r="B14" s="34">
        <v>296.25407000000001</v>
      </c>
      <c r="C14" s="30">
        <v>27.111529999999998</v>
      </c>
      <c r="D14" s="30">
        <v>0.98150000000000004</v>
      </c>
      <c r="E14" s="29"/>
      <c r="F14" s="29"/>
      <c r="G14" s="9">
        <f t="shared" si="0"/>
        <v>3.0587191789984467</v>
      </c>
      <c r="H14" s="9">
        <f t="shared" si="1"/>
        <v>3.0587191789984467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150</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1.9411818266761693</v>
      </c>
      <c r="H9" s="9">
        <f t="shared" ref="H9:H14" si="1">B9/(C9+$D$5)^D9</f>
        <v>1.9411818266761693</v>
      </c>
      <c r="J9" s="29"/>
      <c r="K9" s="29"/>
      <c r="L9" s="30"/>
    </row>
    <row r="10" spans="1:12" x14ac:dyDescent="0.25">
      <c r="A10" s="31">
        <v>5</v>
      </c>
      <c r="B10" s="34">
        <v>263.71406000000002</v>
      </c>
      <c r="C10" s="30">
        <v>31.971609999999998</v>
      </c>
      <c r="D10" s="30">
        <v>1.01271</v>
      </c>
      <c r="E10" s="29"/>
      <c r="F10" s="29"/>
      <c r="G10" s="9">
        <f t="shared" si="0"/>
        <v>2.2493592767248201</v>
      </c>
      <c r="H10" s="9">
        <f t="shared" si="1"/>
        <v>2.2493592767248201</v>
      </c>
      <c r="J10" s="29"/>
      <c r="K10" s="29"/>
      <c r="L10" s="30"/>
    </row>
    <row r="11" spans="1:12" x14ac:dyDescent="0.25">
      <c r="A11" s="31">
        <v>10</v>
      </c>
      <c r="B11" s="34">
        <v>272.73104999999998</v>
      </c>
      <c r="C11" s="30">
        <v>30.63053</v>
      </c>
      <c r="D11" s="30">
        <v>1.0040800000000001</v>
      </c>
      <c r="E11" s="29"/>
      <c r="F11" s="29"/>
      <c r="G11" s="35">
        <f t="shared" si="0"/>
        <v>2.4525618983528732</v>
      </c>
      <c r="H11" s="117">
        <f t="shared" si="1"/>
        <v>2.4525618983528732</v>
      </c>
      <c r="J11" s="29"/>
      <c r="K11" s="29"/>
      <c r="L11" s="30"/>
    </row>
    <row r="12" spans="1:12" x14ac:dyDescent="0.25">
      <c r="A12" s="31">
        <v>25</v>
      </c>
      <c r="B12" s="34">
        <v>284.08978999999999</v>
      </c>
      <c r="C12" s="30">
        <v>28.951280000000001</v>
      </c>
      <c r="D12" s="30">
        <v>0.99322999999999995</v>
      </c>
      <c r="E12" s="29"/>
      <c r="F12" s="29"/>
      <c r="G12" s="9">
        <f t="shared" si="0"/>
        <v>2.7298733231970593</v>
      </c>
      <c r="H12" s="9">
        <f t="shared" si="1"/>
        <v>2.7298733231970593</v>
      </c>
      <c r="J12" s="29"/>
      <c r="K12" s="29"/>
      <c r="L12" s="30"/>
    </row>
    <row r="13" spans="1:12" x14ac:dyDescent="0.25">
      <c r="A13" s="31">
        <v>50</v>
      </c>
      <c r="B13" s="34">
        <v>291.79401000000001</v>
      </c>
      <c r="C13" s="30">
        <v>27.79608</v>
      </c>
      <c r="D13" s="30">
        <v>0.98582999999999998</v>
      </c>
      <c r="E13" s="29"/>
      <c r="F13" s="29"/>
      <c r="G13" s="9">
        <f t="shared" si="0"/>
        <v>2.9337460902881527</v>
      </c>
      <c r="H13" s="9">
        <f t="shared" si="1"/>
        <v>2.9337460902881527</v>
      </c>
    </row>
    <row r="14" spans="1:12" x14ac:dyDescent="0.25">
      <c r="A14" s="31">
        <v>100</v>
      </c>
      <c r="B14" s="34">
        <v>298.59854000000001</v>
      </c>
      <c r="C14" s="30">
        <v>26.744620000000001</v>
      </c>
      <c r="D14" s="30">
        <v>0.97921000000000002</v>
      </c>
      <c r="E14" s="29"/>
      <c r="F14" s="29"/>
      <c r="G14" s="9">
        <f t="shared" si="0"/>
        <v>3.1266368091160608</v>
      </c>
      <c r="H14" s="9">
        <f t="shared" si="1"/>
        <v>3.1266368091160608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151</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1.8555926768960329</v>
      </c>
      <c r="H9" s="9">
        <f t="shared" ref="H9:H14" si="1">B9/(C9+$D$5)^D9</f>
        <v>1.8555926768960329</v>
      </c>
      <c r="J9" s="29"/>
      <c r="K9" s="29"/>
      <c r="L9" s="30"/>
    </row>
    <row r="10" spans="1:12" x14ac:dyDescent="0.25">
      <c r="A10" s="31">
        <v>5</v>
      </c>
      <c r="B10" s="34">
        <v>258.50572</v>
      </c>
      <c r="C10" s="30">
        <v>32.756839999999997</v>
      </c>
      <c r="D10" s="30">
        <v>1.01773</v>
      </c>
      <c r="E10" s="29"/>
      <c r="F10" s="29"/>
      <c r="G10" s="9">
        <f t="shared" si="0"/>
        <v>2.1379999704211388</v>
      </c>
      <c r="H10" s="9">
        <f t="shared" si="1"/>
        <v>2.1379999704211388</v>
      </c>
      <c r="J10" s="29"/>
      <c r="K10" s="29"/>
      <c r="L10" s="30"/>
    </row>
    <row r="11" spans="1:12" x14ac:dyDescent="0.25">
      <c r="A11" s="31">
        <v>10</v>
      </c>
      <c r="B11" s="34">
        <v>267.54246999999998</v>
      </c>
      <c r="C11" s="30">
        <v>31.39986</v>
      </c>
      <c r="D11" s="30">
        <v>1.0090399999999999</v>
      </c>
      <c r="E11" s="29"/>
      <c r="F11" s="29"/>
      <c r="G11" s="35">
        <f t="shared" si="0"/>
        <v>2.3339478588631954</v>
      </c>
      <c r="H11" s="117">
        <f t="shared" si="1"/>
        <v>2.3339478588631954</v>
      </c>
      <c r="J11" s="29"/>
      <c r="K11" s="29"/>
      <c r="L11" s="30"/>
    </row>
    <row r="12" spans="1:12" x14ac:dyDescent="0.25">
      <c r="A12" s="31">
        <v>25</v>
      </c>
      <c r="B12" s="34">
        <v>279.77346</v>
      </c>
      <c r="C12" s="30">
        <v>29.590430000000001</v>
      </c>
      <c r="D12" s="30">
        <v>0.99734999999999996</v>
      </c>
      <c r="E12" s="29"/>
      <c r="F12" s="29"/>
      <c r="G12" s="9">
        <f t="shared" si="0"/>
        <v>2.6215352495722972</v>
      </c>
      <c r="H12" s="9">
        <f t="shared" si="1"/>
        <v>2.6215352495722972</v>
      </c>
      <c r="J12" s="29"/>
      <c r="K12" s="29"/>
      <c r="L12" s="30"/>
    </row>
    <row r="13" spans="1:12" x14ac:dyDescent="0.25">
      <c r="A13" s="31">
        <v>50</v>
      </c>
      <c r="B13" s="34">
        <v>288.71309000000002</v>
      </c>
      <c r="C13" s="30">
        <v>28.26125</v>
      </c>
      <c r="D13" s="30">
        <v>0.98878999999999995</v>
      </c>
      <c r="E13" s="29"/>
      <c r="F13" s="29"/>
      <c r="G13" s="9">
        <f t="shared" si="0"/>
        <v>2.8506164744330813</v>
      </c>
      <c r="H13" s="9">
        <f t="shared" si="1"/>
        <v>2.8506164744330813</v>
      </c>
    </row>
    <row r="14" spans="1:12" x14ac:dyDescent="0.25">
      <c r="A14" s="31">
        <v>100</v>
      </c>
      <c r="B14" s="34">
        <v>296.66217</v>
      </c>
      <c r="C14" s="30">
        <v>27.048590000000001</v>
      </c>
      <c r="D14" s="30">
        <v>0.98111000000000004</v>
      </c>
      <c r="E14" s="29"/>
      <c r="F14" s="29"/>
      <c r="G14" s="9">
        <f t="shared" si="0"/>
        <v>3.0702994472698109</v>
      </c>
      <c r="H14" s="9">
        <f t="shared" si="1"/>
        <v>3.0702994472698109</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152</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1.8866746646948622</v>
      </c>
      <c r="H9" s="9">
        <f t="shared" ref="H9:H14" si="1">B9/(C9+$D$5)^D9</f>
        <v>1.8866746646948622</v>
      </c>
      <c r="J9" s="29"/>
      <c r="K9" s="29"/>
      <c r="L9" s="30"/>
    </row>
    <row r="10" spans="1:12" x14ac:dyDescent="0.25">
      <c r="A10" s="31">
        <v>5</v>
      </c>
      <c r="B10" s="34">
        <v>259.11354999999998</v>
      </c>
      <c r="C10" s="30">
        <v>32.664630000000002</v>
      </c>
      <c r="D10" s="30">
        <v>1.0171399999999999</v>
      </c>
      <c r="E10" s="29"/>
      <c r="F10" s="29"/>
      <c r="G10" s="9">
        <f t="shared" si="0"/>
        <v>2.1508062853446255</v>
      </c>
      <c r="H10" s="9">
        <f t="shared" si="1"/>
        <v>2.1508062853446255</v>
      </c>
      <c r="J10" s="29"/>
      <c r="K10" s="29"/>
      <c r="L10" s="30"/>
    </row>
    <row r="11" spans="1:12" x14ac:dyDescent="0.25">
      <c r="A11" s="31">
        <v>10</v>
      </c>
      <c r="B11" s="34">
        <v>267.80932999999999</v>
      </c>
      <c r="C11" s="30">
        <v>31.36009</v>
      </c>
      <c r="D11" s="30">
        <v>1.00878</v>
      </c>
      <c r="E11" s="29"/>
      <c r="F11" s="29"/>
      <c r="G11" s="35">
        <f t="shared" si="0"/>
        <v>2.3399865633822965</v>
      </c>
      <c r="H11" s="117">
        <f t="shared" si="1"/>
        <v>2.3399865633822965</v>
      </c>
      <c r="J11" s="29"/>
      <c r="K11" s="29"/>
      <c r="L11" s="30"/>
    </row>
    <row r="12" spans="1:12" x14ac:dyDescent="0.25">
      <c r="A12" s="31">
        <v>25</v>
      </c>
      <c r="B12" s="34">
        <v>280.16379000000001</v>
      </c>
      <c r="C12" s="30">
        <v>29.53274</v>
      </c>
      <c r="D12" s="30">
        <v>0.99697999999999998</v>
      </c>
      <c r="E12" s="29"/>
      <c r="F12" s="29"/>
      <c r="G12" s="9">
        <f t="shared" si="0"/>
        <v>2.6311455317610011</v>
      </c>
      <c r="H12" s="9">
        <f t="shared" si="1"/>
        <v>2.6311455317610011</v>
      </c>
      <c r="J12" s="29"/>
      <c r="K12" s="29"/>
      <c r="L12" s="30"/>
    </row>
    <row r="13" spans="1:12" x14ac:dyDescent="0.25">
      <c r="A13" s="31">
        <v>50</v>
      </c>
      <c r="B13" s="34">
        <v>288.48608999999999</v>
      </c>
      <c r="C13" s="30">
        <v>28.29513</v>
      </c>
      <c r="D13" s="30">
        <v>0.98900999999999994</v>
      </c>
      <c r="E13" s="29"/>
      <c r="F13" s="29"/>
      <c r="G13" s="9">
        <f t="shared" si="0"/>
        <v>2.8445570220649636</v>
      </c>
      <c r="H13" s="9">
        <f t="shared" si="1"/>
        <v>2.8445570220649636</v>
      </c>
    </row>
    <row r="14" spans="1:12" x14ac:dyDescent="0.25">
      <c r="A14" s="31">
        <v>100</v>
      </c>
      <c r="B14" s="34">
        <v>296.13357000000002</v>
      </c>
      <c r="C14" s="30">
        <v>27.129909999999999</v>
      </c>
      <c r="D14" s="30">
        <v>0.98162000000000005</v>
      </c>
      <c r="E14" s="29"/>
      <c r="F14" s="29"/>
      <c r="G14" s="9">
        <f t="shared" si="0"/>
        <v>3.0552438854391402</v>
      </c>
      <c r="H14" s="9">
        <f t="shared" si="1"/>
        <v>3.0552438854391402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153</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1.7388849950600243</v>
      </c>
      <c r="H9" s="9">
        <f t="shared" ref="H9:H14" si="1">B9/(C9+$D$5)^D9</f>
        <v>1.7388849950600243</v>
      </c>
      <c r="J9" s="29"/>
      <c r="K9" s="29"/>
      <c r="L9" s="30"/>
    </row>
    <row r="10" spans="1:12" x14ac:dyDescent="0.25">
      <c r="A10" s="31">
        <v>5</v>
      </c>
      <c r="B10" s="34">
        <v>253.07857999999999</v>
      </c>
      <c r="C10" s="30">
        <v>33.587960000000002</v>
      </c>
      <c r="D10" s="30">
        <v>1.0229900000000001</v>
      </c>
      <c r="E10" s="29"/>
      <c r="F10" s="29"/>
      <c r="G10" s="9">
        <f t="shared" si="0"/>
        <v>2.0263868635795892</v>
      </c>
      <c r="H10" s="9">
        <f t="shared" si="1"/>
        <v>2.0263868635795892</v>
      </c>
      <c r="J10" s="29"/>
      <c r="K10" s="29"/>
      <c r="L10" s="30"/>
    </row>
    <row r="11" spans="1:12" x14ac:dyDescent="0.25">
      <c r="A11" s="31">
        <v>10</v>
      </c>
      <c r="B11" s="34">
        <v>263.15904</v>
      </c>
      <c r="C11" s="30">
        <v>32.0548</v>
      </c>
      <c r="D11" s="30">
        <v>1.0132399999999999</v>
      </c>
      <c r="E11" s="29"/>
      <c r="F11" s="29"/>
      <c r="G11" s="35">
        <f t="shared" si="0"/>
        <v>2.2373278672708903</v>
      </c>
      <c r="H11" s="117">
        <f t="shared" si="1"/>
        <v>2.2373278672708903</v>
      </c>
      <c r="J11" s="29"/>
      <c r="K11" s="29"/>
      <c r="L11" s="30"/>
    </row>
    <row r="12" spans="1:12" x14ac:dyDescent="0.25">
      <c r="A12" s="31">
        <v>25</v>
      </c>
      <c r="B12" s="34">
        <v>276.21251999999998</v>
      </c>
      <c r="C12" s="30">
        <v>30.116250000000001</v>
      </c>
      <c r="D12" s="30">
        <v>1.00075</v>
      </c>
      <c r="E12" s="29"/>
      <c r="F12" s="29"/>
      <c r="G12" s="9">
        <f t="shared" si="0"/>
        <v>2.5349436964427077</v>
      </c>
      <c r="H12" s="9">
        <f t="shared" si="1"/>
        <v>2.5349436964427077</v>
      </c>
      <c r="J12" s="29"/>
      <c r="K12" s="29"/>
      <c r="L12" s="30"/>
    </row>
    <row r="13" spans="1:12" x14ac:dyDescent="0.25">
      <c r="A13" s="31">
        <v>50</v>
      </c>
      <c r="B13" s="34">
        <v>285.40821999999997</v>
      </c>
      <c r="C13" s="30">
        <v>28.755269999999999</v>
      </c>
      <c r="D13" s="30">
        <v>0.99195999999999995</v>
      </c>
      <c r="E13" s="29"/>
      <c r="F13" s="29"/>
      <c r="G13" s="9">
        <f t="shared" si="0"/>
        <v>2.7638829227634218</v>
      </c>
      <c r="H13" s="9">
        <f t="shared" si="1"/>
        <v>2.7638829227634218</v>
      </c>
    </row>
    <row r="14" spans="1:12" x14ac:dyDescent="0.25">
      <c r="A14" s="31">
        <v>100</v>
      </c>
      <c r="B14" s="34">
        <v>293.62644</v>
      </c>
      <c r="C14" s="30">
        <v>27.51709</v>
      </c>
      <c r="D14" s="30">
        <v>0.98404999999999998</v>
      </c>
      <c r="E14" s="29"/>
      <c r="F14" s="29"/>
      <c r="G14" s="9">
        <f t="shared" si="0"/>
        <v>2.984501474464075</v>
      </c>
      <c r="H14" s="9">
        <f t="shared" si="1"/>
        <v>2.984501474464075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154</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1.9602265437526105</v>
      </c>
      <c r="H9" s="9">
        <f t="shared" ref="H9:H14" si="1">B9/(C9+$D$5)^D9</f>
        <v>1.9602265437526105</v>
      </c>
      <c r="J9" s="29"/>
      <c r="K9" s="29"/>
      <c r="L9" s="30"/>
    </row>
    <row r="10" spans="1:12" x14ac:dyDescent="0.25">
      <c r="A10" s="31">
        <v>5</v>
      </c>
      <c r="B10" s="34">
        <v>261.38427999999999</v>
      </c>
      <c r="C10" s="30">
        <v>32.321309999999997</v>
      </c>
      <c r="D10" s="30">
        <v>1.01495</v>
      </c>
      <c r="E10" s="29"/>
      <c r="F10" s="29"/>
      <c r="G10" s="9">
        <f t="shared" si="0"/>
        <v>2.199048822079257</v>
      </c>
      <c r="H10" s="9">
        <f t="shared" si="1"/>
        <v>2.199048822079257</v>
      </c>
      <c r="J10" s="29"/>
      <c r="K10" s="29"/>
      <c r="L10" s="30"/>
    </row>
    <row r="11" spans="1:12" x14ac:dyDescent="0.25">
      <c r="A11" s="31">
        <v>10</v>
      </c>
      <c r="B11" s="34">
        <v>269.34521000000001</v>
      </c>
      <c r="C11" s="30">
        <v>31.131879999999999</v>
      </c>
      <c r="D11" s="30">
        <v>1.0073099999999999</v>
      </c>
      <c r="E11" s="29"/>
      <c r="F11" s="29"/>
      <c r="G11" s="35">
        <f t="shared" si="0"/>
        <v>2.3746889601479837</v>
      </c>
      <c r="H11" s="117">
        <f t="shared" si="1"/>
        <v>2.3746889601479837</v>
      </c>
      <c r="J11" s="29"/>
      <c r="K11" s="29"/>
      <c r="L11" s="30"/>
    </row>
    <row r="12" spans="1:12" x14ac:dyDescent="0.25">
      <c r="A12" s="31">
        <v>25</v>
      </c>
      <c r="B12" s="34">
        <v>288.87468000000001</v>
      </c>
      <c r="C12" s="30">
        <v>29.410900000000002</v>
      </c>
      <c r="D12" s="30">
        <v>0.99619000000000002</v>
      </c>
      <c r="E12" s="29"/>
      <c r="F12" s="29"/>
      <c r="G12" s="9">
        <f t="shared" si="0"/>
        <v>2.7260706752844253</v>
      </c>
      <c r="H12" s="9">
        <f t="shared" si="1"/>
        <v>2.7260706752844253</v>
      </c>
      <c r="J12" s="29"/>
      <c r="K12" s="29"/>
      <c r="L12" s="30"/>
    </row>
    <row r="13" spans="1:12" x14ac:dyDescent="0.25">
      <c r="A13" s="31">
        <v>50</v>
      </c>
      <c r="B13" s="34">
        <v>288.87468000000001</v>
      </c>
      <c r="C13" s="30">
        <v>28.236509999999999</v>
      </c>
      <c r="D13" s="30">
        <v>0.98863999999999996</v>
      </c>
      <c r="E13" s="29"/>
      <c r="F13" s="29"/>
      <c r="G13" s="9">
        <f t="shared" si="0"/>
        <v>2.8548649935585755</v>
      </c>
      <c r="H13" s="9">
        <f t="shared" si="1"/>
        <v>2.8548649935585755</v>
      </c>
    </row>
    <row r="14" spans="1:12" x14ac:dyDescent="0.25">
      <c r="A14" s="31">
        <v>100</v>
      </c>
      <c r="B14" s="34">
        <v>296.40785</v>
      </c>
      <c r="C14" s="30">
        <v>27.086500000000001</v>
      </c>
      <c r="D14" s="30">
        <v>0.98134999999999994</v>
      </c>
      <c r="E14" s="29"/>
      <c r="F14" s="29"/>
      <c r="G14" s="9">
        <f t="shared" si="0"/>
        <v>3.0631592198140263</v>
      </c>
      <c r="H14" s="9">
        <f t="shared" si="1"/>
        <v>3.0631592198140263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155</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1.7360190172415706</v>
      </c>
      <c r="H9" s="9">
        <f t="shared" ref="H9:H14" si="1">B9/(C9+$D$5)^D9</f>
        <v>1.7360190172415706</v>
      </c>
      <c r="J9" s="29"/>
      <c r="K9" s="29"/>
      <c r="L9" s="30"/>
    </row>
    <row r="10" spans="1:12" x14ac:dyDescent="0.25">
      <c r="A10" s="31">
        <v>5</v>
      </c>
      <c r="B10" s="34">
        <v>253.76636999999999</v>
      </c>
      <c r="C10" s="30">
        <v>33.481679999999997</v>
      </c>
      <c r="D10" s="30">
        <v>1.0223199999999999</v>
      </c>
      <c r="E10" s="29"/>
      <c r="F10" s="29"/>
      <c r="G10" s="9">
        <f t="shared" si="0"/>
        <v>2.0403067617313493</v>
      </c>
      <c r="H10" s="9">
        <f t="shared" si="1"/>
        <v>2.0403067617313493</v>
      </c>
      <c r="J10" s="29"/>
      <c r="K10" s="29"/>
      <c r="L10" s="30"/>
    </row>
    <row r="11" spans="1:12" x14ac:dyDescent="0.25">
      <c r="A11" s="31">
        <v>10</v>
      </c>
      <c r="B11" s="34">
        <v>263.78131000000002</v>
      </c>
      <c r="C11" s="30">
        <v>31.96134</v>
      </c>
      <c r="D11" s="30">
        <v>1.0126500000000001</v>
      </c>
      <c r="E11" s="29"/>
      <c r="F11" s="29"/>
      <c r="G11" s="35">
        <f t="shared" si="0"/>
        <v>2.2507800175425086</v>
      </c>
      <c r="H11" s="117">
        <f t="shared" si="1"/>
        <v>2.2507800175425086</v>
      </c>
      <c r="J11" s="29"/>
      <c r="K11" s="29"/>
      <c r="L11" s="30"/>
    </row>
    <row r="12" spans="1:12" x14ac:dyDescent="0.25">
      <c r="A12" s="31">
        <v>25</v>
      </c>
      <c r="B12" s="34">
        <v>277.32452000000001</v>
      </c>
      <c r="C12" s="30">
        <v>29.952089999999998</v>
      </c>
      <c r="D12" s="30">
        <v>0.99968999999999997</v>
      </c>
      <c r="E12" s="29"/>
      <c r="F12" s="29"/>
      <c r="G12" s="9">
        <f t="shared" si="0"/>
        <v>2.5616985216217985</v>
      </c>
      <c r="H12" s="9">
        <f t="shared" si="1"/>
        <v>2.5616985216217985</v>
      </c>
      <c r="J12" s="29"/>
      <c r="K12" s="29"/>
      <c r="L12" s="30"/>
    </row>
    <row r="13" spans="1:12" x14ac:dyDescent="0.25">
      <c r="A13" s="31">
        <v>50</v>
      </c>
      <c r="B13" s="34">
        <v>286.37653999999998</v>
      </c>
      <c r="C13" s="30">
        <v>28.610849999999999</v>
      </c>
      <c r="D13" s="30">
        <v>0.99104000000000003</v>
      </c>
      <c r="E13" s="29"/>
      <c r="F13" s="29"/>
      <c r="G13" s="9">
        <f t="shared" si="0"/>
        <v>2.7889362145134569</v>
      </c>
      <c r="H13" s="9">
        <f t="shared" si="1"/>
        <v>2.7889362145134569</v>
      </c>
    </row>
    <row r="14" spans="1:12" x14ac:dyDescent="0.25">
      <c r="A14" s="31">
        <v>100</v>
      </c>
      <c r="B14" s="34">
        <v>294.97888999999998</v>
      </c>
      <c r="C14" s="30">
        <v>27.308869999999999</v>
      </c>
      <c r="D14" s="30">
        <v>0.98273999999999995</v>
      </c>
      <c r="E14" s="29"/>
      <c r="F14" s="29"/>
      <c r="G14" s="9">
        <f t="shared" si="0"/>
        <v>3.0224559338225161</v>
      </c>
      <c r="H14" s="9">
        <f t="shared" si="1"/>
        <v>3.0224559338225161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156</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1.7639559659612483</v>
      </c>
      <c r="H9" s="9">
        <f t="shared" ref="H9:H14" si="1">B9/(C9+$D$5)^D9</f>
        <v>1.7639559659612483</v>
      </c>
      <c r="J9" s="29"/>
      <c r="K9" s="29"/>
      <c r="L9" s="30"/>
    </row>
    <row r="10" spans="1:12" x14ac:dyDescent="0.25">
      <c r="A10" s="31">
        <v>5</v>
      </c>
      <c r="B10" s="34">
        <v>254.57509999999999</v>
      </c>
      <c r="C10" s="30">
        <v>33.357579999999999</v>
      </c>
      <c r="D10" s="30">
        <v>1.0215399999999999</v>
      </c>
      <c r="E10" s="29"/>
      <c r="F10" s="29"/>
      <c r="G10" s="9">
        <f t="shared" si="0"/>
        <v>2.0566843416848268</v>
      </c>
      <c r="H10" s="9">
        <f t="shared" si="1"/>
        <v>2.0566843416848268</v>
      </c>
      <c r="J10" s="29"/>
      <c r="K10" s="29"/>
      <c r="L10" s="30"/>
    </row>
    <row r="11" spans="1:12" x14ac:dyDescent="0.25">
      <c r="A11" s="31">
        <v>10</v>
      </c>
      <c r="B11" s="34">
        <v>265.33812</v>
      </c>
      <c r="C11" s="30">
        <v>31.728549999999998</v>
      </c>
      <c r="D11" s="30">
        <v>1.01115</v>
      </c>
      <c r="E11" s="29"/>
      <c r="F11" s="29"/>
      <c r="G11" s="35">
        <f t="shared" si="0"/>
        <v>2.2849674271200255</v>
      </c>
      <c r="H11" s="117">
        <f t="shared" si="1"/>
        <v>2.2849674271200255</v>
      </c>
      <c r="J11" s="29"/>
      <c r="K11" s="29"/>
      <c r="L11" s="30"/>
    </row>
    <row r="12" spans="1:12" x14ac:dyDescent="0.25">
      <c r="A12" s="31">
        <v>25</v>
      </c>
      <c r="B12" s="34">
        <v>278.27661000000001</v>
      </c>
      <c r="C12" s="30">
        <v>29.811530000000001</v>
      </c>
      <c r="D12" s="30">
        <v>0.99878</v>
      </c>
      <c r="E12" s="29"/>
      <c r="F12" s="29"/>
      <c r="G12" s="9">
        <f t="shared" si="0"/>
        <v>2.5848248660696935</v>
      </c>
      <c r="H12" s="9">
        <f t="shared" si="1"/>
        <v>2.5848248660696935</v>
      </c>
      <c r="J12" s="29"/>
      <c r="K12" s="29"/>
      <c r="L12" s="30"/>
    </row>
    <row r="13" spans="1:12" x14ac:dyDescent="0.25">
      <c r="A13" s="31">
        <v>50</v>
      </c>
      <c r="B13" s="34">
        <v>287.58051</v>
      </c>
      <c r="C13" s="30">
        <v>28.431000000000001</v>
      </c>
      <c r="D13" s="30">
        <v>0.98987999999999998</v>
      </c>
      <c r="E13" s="29"/>
      <c r="F13" s="29"/>
      <c r="G13" s="9">
        <f t="shared" si="0"/>
        <v>2.8205754856197514</v>
      </c>
      <c r="H13" s="9">
        <f t="shared" si="1"/>
        <v>2.8205754856197514</v>
      </c>
    </row>
    <row r="14" spans="1:12" x14ac:dyDescent="0.25">
      <c r="A14" s="31">
        <v>100</v>
      </c>
      <c r="B14" s="34">
        <v>296.11192</v>
      </c>
      <c r="C14" s="30">
        <v>27.133880000000001</v>
      </c>
      <c r="D14" s="30">
        <v>0.98163999999999996</v>
      </c>
      <c r="E14" s="29"/>
      <c r="F14" s="29"/>
      <c r="G14" s="9">
        <f t="shared" si="0"/>
        <v>3.054623093673555</v>
      </c>
      <c r="H14" s="9">
        <f t="shared" si="1"/>
        <v>3.054623093673555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157</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2.0174473911759665</v>
      </c>
      <c r="H9" s="9">
        <f t="shared" ref="H9:H14" si="1">B9/(C9+$D$5)^D9</f>
        <v>2.0174473911759665</v>
      </c>
      <c r="J9" s="29"/>
      <c r="K9" s="29"/>
      <c r="L9" s="30"/>
    </row>
    <row r="10" spans="1:12" x14ac:dyDescent="0.25">
      <c r="A10" s="31">
        <v>5</v>
      </c>
      <c r="B10" s="34">
        <v>263.35487999999998</v>
      </c>
      <c r="C10" s="30">
        <v>32.025089999999999</v>
      </c>
      <c r="D10" s="30">
        <v>1.0130600000000001</v>
      </c>
      <c r="E10" s="29"/>
      <c r="F10" s="29"/>
      <c r="G10" s="9">
        <f t="shared" si="0"/>
        <v>2.2415003792578236</v>
      </c>
      <c r="H10" s="9">
        <f t="shared" si="1"/>
        <v>2.2415003792578236</v>
      </c>
      <c r="J10" s="29"/>
      <c r="K10" s="29"/>
      <c r="L10" s="30"/>
    </row>
    <row r="11" spans="1:12" x14ac:dyDescent="0.25">
      <c r="A11" s="31">
        <v>10</v>
      </c>
      <c r="B11" s="34">
        <v>271.20123999999998</v>
      </c>
      <c r="C11" s="30">
        <v>30.856809999999999</v>
      </c>
      <c r="D11" s="30">
        <v>1.0055400000000001</v>
      </c>
      <c r="E11" s="29"/>
      <c r="F11" s="29"/>
      <c r="G11" s="35">
        <f t="shared" si="0"/>
        <v>2.4171133606038238</v>
      </c>
      <c r="H11" s="117">
        <f t="shared" si="1"/>
        <v>2.4171133606038238</v>
      </c>
      <c r="J11" s="29"/>
      <c r="K11" s="29"/>
      <c r="L11" s="30"/>
    </row>
    <row r="12" spans="1:12" x14ac:dyDescent="0.25">
      <c r="A12" s="31">
        <v>25</v>
      </c>
      <c r="B12" s="34">
        <v>282.27166999999997</v>
      </c>
      <c r="C12" s="30">
        <v>29.22082</v>
      </c>
      <c r="D12" s="30">
        <v>0.99494000000000005</v>
      </c>
      <c r="E12" s="29"/>
      <c r="F12" s="29"/>
      <c r="G12" s="9">
        <f t="shared" si="0"/>
        <v>2.6840964784778101</v>
      </c>
      <c r="H12" s="9">
        <f t="shared" si="1"/>
        <v>2.6840964784778101</v>
      </c>
      <c r="J12" s="29"/>
      <c r="K12" s="29"/>
      <c r="L12" s="30"/>
    </row>
    <row r="13" spans="1:12" x14ac:dyDescent="0.25">
      <c r="A13" s="31">
        <v>50</v>
      </c>
      <c r="B13" s="34">
        <v>290.40814</v>
      </c>
      <c r="C13" s="30">
        <v>28.005379999999999</v>
      </c>
      <c r="D13" s="30">
        <v>0.98716000000000004</v>
      </c>
      <c r="E13" s="29"/>
      <c r="F13" s="29"/>
      <c r="G13" s="9">
        <f t="shared" si="0"/>
        <v>2.8961179754752262</v>
      </c>
      <c r="H13" s="9">
        <f t="shared" si="1"/>
        <v>2.8961179754752262</v>
      </c>
    </row>
    <row r="14" spans="1:12" x14ac:dyDescent="0.25">
      <c r="A14" s="31">
        <v>100</v>
      </c>
      <c r="B14" s="34">
        <v>297.47764999999998</v>
      </c>
      <c r="C14" s="30">
        <v>26.91919</v>
      </c>
      <c r="D14" s="30">
        <v>0.98031000000000001</v>
      </c>
      <c r="E14" s="29"/>
      <c r="F14" s="29"/>
      <c r="G14" s="9">
        <f t="shared" si="0"/>
        <v>3.0939550592410243</v>
      </c>
      <c r="H14" s="9">
        <f t="shared" si="1"/>
        <v>3.0939550592410243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158</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1.7764972427692975</v>
      </c>
      <c r="H9" s="9">
        <f t="shared" ref="H9:H14" si="1">B9/(C9+$D$5)^D9</f>
        <v>1.7764972427692975</v>
      </c>
      <c r="J9" s="29"/>
      <c r="K9" s="29"/>
      <c r="L9" s="30"/>
    </row>
    <row r="10" spans="1:12" x14ac:dyDescent="0.25">
      <c r="A10" s="31">
        <v>5</v>
      </c>
      <c r="B10" s="34">
        <v>255.19143</v>
      </c>
      <c r="C10" s="30">
        <v>33.262779999999999</v>
      </c>
      <c r="D10" s="30">
        <v>1.02094</v>
      </c>
      <c r="E10" s="29"/>
      <c r="F10" s="29"/>
      <c r="G10" s="9">
        <f t="shared" si="0"/>
        <v>2.0692977008392108</v>
      </c>
      <c r="H10" s="9">
        <f t="shared" si="1"/>
        <v>2.0692977008392108</v>
      </c>
      <c r="J10" s="29"/>
      <c r="K10" s="29"/>
      <c r="L10" s="30"/>
    </row>
    <row r="11" spans="1:12" x14ac:dyDescent="0.25">
      <c r="A11" s="31">
        <v>10</v>
      </c>
      <c r="B11" s="34">
        <v>265.20096000000001</v>
      </c>
      <c r="C11" s="30">
        <v>31.748999999999999</v>
      </c>
      <c r="D11" s="30">
        <v>1.01128</v>
      </c>
      <c r="E11" s="29"/>
      <c r="F11" s="29"/>
      <c r="G11" s="35">
        <f t="shared" si="0"/>
        <v>2.2819623663766286</v>
      </c>
      <c r="H11" s="117">
        <f t="shared" si="1"/>
        <v>2.2819623663766286</v>
      </c>
      <c r="J11" s="29"/>
      <c r="K11" s="29"/>
      <c r="L11" s="30"/>
    </row>
    <row r="12" spans="1:12" x14ac:dyDescent="0.25">
      <c r="A12" s="31">
        <v>25</v>
      </c>
      <c r="B12" s="34">
        <v>278.49725000000001</v>
      </c>
      <c r="C12" s="30">
        <v>29.778949999999998</v>
      </c>
      <c r="D12" s="30">
        <v>0.99856999999999996</v>
      </c>
      <c r="E12" s="29"/>
      <c r="F12" s="29"/>
      <c r="G12" s="9">
        <f t="shared" si="0"/>
        <v>2.5901987719547295</v>
      </c>
      <c r="H12" s="9">
        <f t="shared" si="1"/>
        <v>2.5901987719547295</v>
      </c>
      <c r="J12" s="29"/>
      <c r="K12" s="29"/>
      <c r="L12" s="30"/>
    </row>
    <row r="13" spans="1:12" x14ac:dyDescent="0.25">
      <c r="A13" s="31">
        <v>50</v>
      </c>
      <c r="B13" s="34">
        <v>287.80007000000001</v>
      </c>
      <c r="C13" s="30">
        <v>28.398219999999998</v>
      </c>
      <c r="D13" s="30">
        <v>0.98967000000000005</v>
      </c>
      <c r="E13" s="29"/>
      <c r="F13" s="29"/>
      <c r="G13" s="9">
        <f t="shared" si="0"/>
        <v>2.8263573927418579</v>
      </c>
      <c r="H13" s="9">
        <f t="shared" si="1"/>
        <v>2.8263573927418579</v>
      </c>
    </row>
    <row r="14" spans="1:12" x14ac:dyDescent="0.25">
      <c r="A14" s="31">
        <v>100</v>
      </c>
      <c r="B14" s="34">
        <v>295.94022000000001</v>
      </c>
      <c r="C14" s="30">
        <v>27.160820000000001</v>
      </c>
      <c r="D14" s="30">
        <v>0.98180999999999996</v>
      </c>
      <c r="E14" s="29"/>
      <c r="F14" s="29"/>
      <c r="G14" s="9">
        <f t="shared" si="0"/>
        <v>3.0496706760114725</v>
      </c>
      <c r="H14" s="9">
        <f t="shared" si="1"/>
        <v>3.0496706760114725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159</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1.8375644384778316</v>
      </c>
      <c r="H9" s="9">
        <f t="shared" ref="H9:H14" si="1">B9/(C9+$D$5)^D9</f>
        <v>1.8375644384778316</v>
      </c>
      <c r="J9" s="29"/>
      <c r="K9" s="29"/>
      <c r="L9" s="30"/>
    </row>
    <row r="10" spans="1:12" x14ac:dyDescent="0.25">
      <c r="A10" s="31">
        <v>5</v>
      </c>
      <c r="B10" s="34">
        <v>257.20585</v>
      </c>
      <c r="C10" s="30">
        <v>32.954790000000003</v>
      </c>
      <c r="D10" s="30">
        <v>1.01898</v>
      </c>
      <c r="E10" s="29"/>
      <c r="F10" s="29"/>
      <c r="G10" s="9">
        <f t="shared" si="0"/>
        <v>2.1109294605526379</v>
      </c>
      <c r="H10" s="9">
        <f t="shared" si="1"/>
        <v>2.1109294605526379</v>
      </c>
      <c r="J10" s="29"/>
      <c r="K10" s="29"/>
      <c r="L10" s="30"/>
    </row>
    <row r="11" spans="1:12" x14ac:dyDescent="0.25">
      <c r="A11" s="31">
        <v>10</v>
      </c>
      <c r="B11" s="34">
        <v>266.59332999999998</v>
      </c>
      <c r="C11" s="30">
        <v>31.54121</v>
      </c>
      <c r="D11" s="30">
        <v>1.0099499999999999</v>
      </c>
      <c r="E11" s="29"/>
      <c r="F11" s="29"/>
      <c r="G11" s="35">
        <f t="shared" si="0"/>
        <v>2.3127386640389949</v>
      </c>
      <c r="H11" s="117">
        <f t="shared" si="1"/>
        <v>2.3127386640389949</v>
      </c>
      <c r="J11" s="29"/>
      <c r="K11" s="29"/>
      <c r="L11" s="30"/>
    </row>
    <row r="12" spans="1:12" x14ac:dyDescent="0.25">
      <c r="A12" s="31">
        <v>25</v>
      </c>
      <c r="B12" s="34">
        <v>279.10068000000001</v>
      </c>
      <c r="C12" s="30">
        <v>29.689830000000001</v>
      </c>
      <c r="D12" s="30">
        <v>0.99799000000000004</v>
      </c>
      <c r="E12" s="29"/>
      <c r="F12" s="29"/>
      <c r="G12" s="9">
        <f t="shared" si="0"/>
        <v>2.6050137880079514</v>
      </c>
      <c r="H12" s="9">
        <f t="shared" si="1"/>
        <v>2.6050137880079514</v>
      </c>
      <c r="J12" s="29"/>
      <c r="K12" s="29"/>
      <c r="L12" s="30"/>
    </row>
    <row r="13" spans="1:12" x14ac:dyDescent="0.25">
      <c r="A13" s="31">
        <v>50</v>
      </c>
      <c r="B13" s="34">
        <v>287.98860000000002</v>
      </c>
      <c r="C13" s="30">
        <v>28.369949999999999</v>
      </c>
      <c r="D13" s="30">
        <v>0.98948999999999998</v>
      </c>
      <c r="E13" s="29"/>
      <c r="F13" s="29"/>
      <c r="G13" s="9">
        <f t="shared" si="0"/>
        <v>2.8313291870951591</v>
      </c>
      <c r="H13" s="9">
        <f t="shared" si="1"/>
        <v>2.8313291870951591</v>
      </c>
    </row>
    <row r="14" spans="1:12" x14ac:dyDescent="0.25">
      <c r="A14" s="31">
        <v>100</v>
      </c>
      <c r="B14" s="34">
        <v>295.95202</v>
      </c>
      <c r="C14" s="30">
        <v>27.15897</v>
      </c>
      <c r="D14" s="30">
        <v>0.98180000000000001</v>
      </c>
      <c r="E14" s="29"/>
      <c r="F14" s="29"/>
      <c r="G14" s="9">
        <f t="shared" si="0"/>
        <v>3.0499868435377424</v>
      </c>
      <c r="H14" s="9">
        <f t="shared" si="1"/>
        <v>3.0499868435377424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160</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1.8053193147160875</v>
      </c>
      <c r="H9" s="9">
        <f t="shared" ref="H9:H14" si="1">B9/(C9+$D$5)^D9</f>
        <v>1.8053193147160875</v>
      </c>
      <c r="J9" s="29"/>
      <c r="K9" s="29"/>
      <c r="L9" s="30"/>
    </row>
    <row r="10" spans="1:12" x14ac:dyDescent="0.25">
      <c r="A10" s="31">
        <v>5</v>
      </c>
      <c r="B10" s="34">
        <v>255.60579000000001</v>
      </c>
      <c r="C10" s="30">
        <v>33.199210000000001</v>
      </c>
      <c r="D10" s="30">
        <v>1.0205299999999999</v>
      </c>
      <c r="E10" s="29"/>
      <c r="F10" s="29"/>
      <c r="G10" s="9">
        <f t="shared" si="0"/>
        <v>2.0778757295039125</v>
      </c>
      <c r="H10" s="9">
        <f t="shared" si="1"/>
        <v>2.0778757295039125</v>
      </c>
      <c r="J10" s="29"/>
      <c r="K10" s="29"/>
      <c r="L10" s="30"/>
    </row>
    <row r="11" spans="1:12" x14ac:dyDescent="0.25">
      <c r="A11" s="31">
        <v>10</v>
      </c>
      <c r="B11" s="34">
        <v>265.91649999999998</v>
      </c>
      <c r="C11" s="30">
        <v>31.642119999999998</v>
      </c>
      <c r="D11" s="30">
        <v>1.0105999999999999</v>
      </c>
      <c r="E11" s="29"/>
      <c r="F11" s="29"/>
      <c r="G11" s="35">
        <f t="shared" si="0"/>
        <v>2.297699462556408</v>
      </c>
      <c r="H11" s="117">
        <f t="shared" si="1"/>
        <v>2.297699462556408</v>
      </c>
      <c r="J11" s="29"/>
      <c r="K11" s="29"/>
      <c r="L11" s="30"/>
    </row>
    <row r="12" spans="1:12" x14ac:dyDescent="0.25">
      <c r="A12" s="31">
        <v>25</v>
      </c>
      <c r="B12" s="34">
        <v>279.12966999999998</v>
      </c>
      <c r="C12" s="30">
        <v>29.68554</v>
      </c>
      <c r="D12" s="30">
        <v>0.99797000000000002</v>
      </c>
      <c r="E12" s="29"/>
      <c r="F12" s="29"/>
      <c r="G12" s="9">
        <f t="shared" si="0"/>
        <v>2.6056315650646078</v>
      </c>
      <c r="H12" s="9">
        <f t="shared" si="1"/>
        <v>2.6056315650646078</v>
      </c>
      <c r="J12" s="29"/>
      <c r="K12" s="29"/>
      <c r="L12" s="30"/>
    </row>
    <row r="13" spans="1:12" x14ac:dyDescent="0.25">
      <c r="A13" s="31">
        <v>50</v>
      </c>
      <c r="B13" s="34">
        <v>287.73534999999998</v>
      </c>
      <c r="C13" s="30">
        <v>28.407810000000001</v>
      </c>
      <c r="D13" s="30">
        <v>0.98973</v>
      </c>
      <c r="E13" s="29"/>
      <c r="F13" s="29"/>
      <c r="G13" s="9">
        <f t="shared" si="0"/>
        <v>2.8246790001981399</v>
      </c>
      <c r="H13" s="9">
        <f t="shared" si="1"/>
        <v>2.8246790001981399</v>
      </c>
    </row>
    <row r="14" spans="1:12" x14ac:dyDescent="0.25">
      <c r="A14" s="31">
        <v>100</v>
      </c>
      <c r="B14" s="34">
        <v>296.11192</v>
      </c>
      <c r="C14" s="30">
        <v>27.133880000000001</v>
      </c>
      <c r="D14" s="30">
        <v>0.98163999999999996</v>
      </c>
      <c r="E14" s="29"/>
      <c r="F14" s="29"/>
      <c r="G14" s="9">
        <f t="shared" si="0"/>
        <v>3.054623093673555</v>
      </c>
      <c r="H14" s="9">
        <f t="shared" si="1"/>
        <v>3.054623093673555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161</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1.9396807302937054</v>
      </c>
      <c r="H9" s="9">
        <f t="shared" ref="H9:H14" si="1">B9/(C9+$D$5)^D9</f>
        <v>1.9396807302937054</v>
      </c>
      <c r="J9" s="29"/>
      <c r="K9" s="29"/>
      <c r="L9" s="30"/>
    </row>
    <row r="10" spans="1:12" x14ac:dyDescent="0.25">
      <c r="A10" s="31">
        <v>5</v>
      </c>
      <c r="B10" s="34">
        <v>260.21913999999998</v>
      </c>
      <c r="C10" s="30">
        <v>32.497070000000001</v>
      </c>
      <c r="D10" s="30">
        <v>1.01607</v>
      </c>
      <c r="E10" s="29"/>
      <c r="F10" s="29"/>
      <c r="G10" s="9">
        <f t="shared" si="0"/>
        <v>2.1742290804026836</v>
      </c>
      <c r="H10" s="9">
        <f t="shared" si="1"/>
        <v>2.1742290804026836</v>
      </c>
      <c r="J10" s="29"/>
      <c r="K10" s="29"/>
      <c r="L10" s="30"/>
    </row>
    <row r="11" spans="1:12" x14ac:dyDescent="0.25">
      <c r="A11" s="31">
        <v>10</v>
      </c>
      <c r="B11" s="34">
        <v>268.83895999999999</v>
      </c>
      <c r="C11" s="30">
        <v>31.20702</v>
      </c>
      <c r="D11" s="30">
        <v>1.0078</v>
      </c>
      <c r="E11" s="29"/>
      <c r="F11" s="29"/>
      <c r="G11" s="35">
        <f t="shared" si="0"/>
        <v>2.3631441142267127</v>
      </c>
      <c r="H11" s="117">
        <f t="shared" si="1"/>
        <v>2.3631441142267127</v>
      </c>
      <c r="J11" s="29"/>
      <c r="K11" s="29"/>
      <c r="L11" s="30"/>
    </row>
    <row r="12" spans="1:12" x14ac:dyDescent="0.25">
      <c r="A12" s="31">
        <v>25</v>
      </c>
      <c r="B12" s="34">
        <v>280.74806000000001</v>
      </c>
      <c r="C12" s="30">
        <v>29.446339999999999</v>
      </c>
      <c r="D12" s="30">
        <v>0.99641999999999997</v>
      </c>
      <c r="E12" s="29"/>
      <c r="F12" s="29"/>
      <c r="G12" s="9">
        <f t="shared" si="0"/>
        <v>2.6456639616126876</v>
      </c>
      <c r="H12" s="9">
        <f t="shared" si="1"/>
        <v>2.6456639616126876</v>
      </c>
      <c r="J12" s="29"/>
      <c r="K12" s="29"/>
      <c r="L12" s="30"/>
    </row>
    <row r="13" spans="1:12" x14ac:dyDescent="0.25">
      <c r="A13" s="31">
        <v>50</v>
      </c>
      <c r="B13" s="34">
        <v>289.11743999999999</v>
      </c>
      <c r="C13" s="30">
        <v>28.200089999999999</v>
      </c>
      <c r="D13" s="30">
        <v>0.98839999999999995</v>
      </c>
      <c r="E13" s="29"/>
      <c r="F13" s="29"/>
      <c r="G13" s="9">
        <f t="shared" si="0"/>
        <v>2.8614337201249671</v>
      </c>
      <c r="H13" s="9">
        <f t="shared" si="1"/>
        <v>2.8614337201249671</v>
      </c>
    </row>
    <row r="14" spans="1:12" x14ac:dyDescent="0.25">
      <c r="A14" s="31">
        <v>100</v>
      </c>
      <c r="B14" s="34">
        <v>296.42743999999999</v>
      </c>
      <c r="C14" s="30">
        <v>27.08362</v>
      </c>
      <c r="D14" s="30">
        <v>0.98133000000000004</v>
      </c>
      <c r="E14" s="29"/>
      <c r="F14" s="29"/>
      <c r="G14" s="9">
        <f t="shared" si="0"/>
        <v>3.0637291720034328</v>
      </c>
      <c r="H14" s="9">
        <f t="shared" si="1"/>
        <v>3.0637291720034328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162</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1.8069945009985071</v>
      </c>
      <c r="H9" s="9">
        <f t="shared" ref="H9:H14" si="1">B9/(C9+$D$5)^D9</f>
        <v>1.8069945009985071</v>
      </c>
      <c r="J9" s="29"/>
      <c r="K9" s="29"/>
      <c r="L9" s="30"/>
    </row>
    <row r="10" spans="1:12" x14ac:dyDescent="0.25">
      <c r="A10" s="31">
        <v>5</v>
      </c>
      <c r="B10" s="34">
        <v>255.90621999999999</v>
      </c>
      <c r="C10" s="30">
        <v>33.153260000000003</v>
      </c>
      <c r="D10" s="30">
        <v>1.02024</v>
      </c>
      <c r="E10" s="29"/>
      <c r="F10" s="29"/>
      <c r="G10" s="9">
        <f t="shared" si="0"/>
        <v>2.0840397028602027</v>
      </c>
      <c r="H10" s="9">
        <f t="shared" si="1"/>
        <v>2.0840397028602027</v>
      </c>
      <c r="J10" s="29"/>
      <c r="K10" s="29"/>
      <c r="L10" s="30"/>
    </row>
    <row r="11" spans="1:12" x14ac:dyDescent="0.25">
      <c r="A11" s="31">
        <v>10</v>
      </c>
      <c r="B11" s="34">
        <v>265.82508000000001</v>
      </c>
      <c r="C11" s="30">
        <v>31.65579</v>
      </c>
      <c r="D11" s="30">
        <v>1.01068</v>
      </c>
      <c r="E11" s="29"/>
      <c r="F11" s="29"/>
      <c r="G11" s="35">
        <f t="shared" si="0"/>
        <v>2.2957577205903217</v>
      </c>
      <c r="H11" s="117">
        <f t="shared" si="1"/>
        <v>2.2957577205903217</v>
      </c>
      <c r="J11" s="29"/>
      <c r="K11" s="29"/>
      <c r="L11" s="30"/>
    </row>
    <row r="12" spans="1:12" x14ac:dyDescent="0.25">
      <c r="A12" s="31">
        <v>25</v>
      </c>
      <c r="B12" s="34">
        <v>278.87729000000002</v>
      </c>
      <c r="C12" s="30">
        <v>29.722819999999999</v>
      </c>
      <c r="D12" s="30">
        <v>0.99821000000000004</v>
      </c>
      <c r="E12" s="29"/>
      <c r="F12" s="29"/>
      <c r="G12" s="9">
        <f t="shared" si="0"/>
        <v>2.5994566355388553</v>
      </c>
      <c r="H12" s="9">
        <f t="shared" si="1"/>
        <v>2.5994566355388553</v>
      </c>
      <c r="J12" s="29"/>
      <c r="K12" s="29"/>
      <c r="L12" s="30"/>
    </row>
    <row r="13" spans="1:12" x14ac:dyDescent="0.25">
      <c r="A13" s="31">
        <v>50</v>
      </c>
      <c r="B13" s="34">
        <v>287.70310000000001</v>
      </c>
      <c r="C13" s="30">
        <v>28.412700000000001</v>
      </c>
      <c r="D13" s="30">
        <v>0.98975999999999997</v>
      </c>
      <c r="E13" s="29"/>
      <c r="F13" s="29"/>
      <c r="G13" s="9">
        <f t="shared" si="0"/>
        <v>2.8238387164974763</v>
      </c>
      <c r="H13" s="9">
        <f t="shared" si="1"/>
        <v>2.8238387164974763</v>
      </c>
    </row>
    <row r="14" spans="1:12" x14ac:dyDescent="0.25">
      <c r="A14" s="31">
        <v>100</v>
      </c>
      <c r="B14" s="34">
        <v>295.99838</v>
      </c>
      <c r="C14" s="30">
        <v>27.151769999999999</v>
      </c>
      <c r="D14" s="30">
        <v>0.98175000000000001</v>
      </c>
      <c r="E14" s="29"/>
      <c r="F14" s="29"/>
      <c r="G14" s="9">
        <f t="shared" si="0"/>
        <v>3.0513796447462718</v>
      </c>
      <c r="H14" s="9">
        <f t="shared" si="1"/>
        <v>3.0513796447462718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163</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2.1212641895693229</v>
      </c>
      <c r="H9" s="9">
        <f t="shared" ref="H9:H14" si="1">B9/(C9+$D$5)^D9</f>
        <v>2.1212641895693229</v>
      </c>
      <c r="J9" s="29"/>
      <c r="K9" s="29"/>
      <c r="L9" s="30"/>
    </row>
    <row r="10" spans="1:12" x14ac:dyDescent="0.25">
      <c r="A10" s="31">
        <v>5</v>
      </c>
      <c r="B10" s="34">
        <v>270.87616000000003</v>
      </c>
      <c r="C10" s="30">
        <v>30.90504</v>
      </c>
      <c r="D10" s="30">
        <v>1.0058499999999999</v>
      </c>
      <c r="E10" s="29"/>
      <c r="F10" s="29"/>
      <c r="G10" s="9">
        <f t="shared" si="0"/>
        <v>2.4096360623215811</v>
      </c>
      <c r="H10" s="9">
        <f t="shared" si="1"/>
        <v>2.4096360623215811</v>
      </c>
      <c r="J10" s="29"/>
      <c r="K10" s="29"/>
      <c r="L10" s="30"/>
    </row>
    <row r="11" spans="1:12" x14ac:dyDescent="0.25">
      <c r="A11" s="31">
        <v>10</v>
      </c>
      <c r="B11" s="34">
        <v>279.22149999999999</v>
      </c>
      <c r="C11" s="30">
        <v>29.671980000000001</v>
      </c>
      <c r="D11" s="30">
        <v>0.99787999999999999</v>
      </c>
      <c r="E11" s="29"/>
      <c r="F11" s="29"/>
      <c r="G11" s="35">
        <f t="shared" si="0"/>
        <v>2.6079139855952569</v>
      </c>
      <c r="H11" s="117">
        <f t="shared" si="1"/>
        <v>2.6079139855952569</v>
      </c>
      <c r="J11" s="29"/>
      <c r="K11" s="29"/>
      <c r="L11" s="30"/>
    </row>
    <row r="12" spans="1:12" x14ac:dyDescent="0.25">
      <c r="A12" s="31">
        <v>25</v>
      </c>
      <c r="B12" s="34">
        <v>289.92786999999998</v>
      </c>
      <c r="C12" s="30">
        <v>28.093499999999999</v>
      </c>
      <c r="D12" s="30">
        <v>0.98772000000000004</v>
      </c>
      <c r="E12" s="29"/>
      <c r="F12" s="29"/>
      <c r="G12" s="9">
        <f t="shared" si="0"/>
        <v>2.8814248469212971</v>
      </c>
      <c r="H12" s="9">
        <f t="shared" si="1"/>
        <v>2.8814248469212971</v>
      </c>
      <c r="J12" s="29"/>
      <c r="K12" s="29"/>
      <c r="L12" s="30"/>
    </row>
    <row r="13" spans="1:12" x14ac:dyDescent="0.25">
      <c r="A13" s="31">
        <v>50</v>
      </c>
      <c r="B13" s="34">
        <v>297.03444999999999</v>
      </c>
      <c r="C13" s="30">
        <v>26.990010000000002</v>
      </c>
      <c r="D13" s="30">
        <v>0.98073999999999995</v>
      </c>
      <c r="E13" s="29"/>
      <c r="F13" s="29"/>
      <c r="G13" s="9">
        <f t="shared" si="0"/>
        <v>3.0811337386786417</v>
      </c>
      <c r="H13" s="9">
        <f t="shared" si="1"/>
        <v>3.0811337386786417</v>
      </c>
    </row>
    <row r="14" spans="1:12" x14ac:dyDescent="0.25">
      <c r="A14" s="31">
        <v>100</v>
      </c>
      <c r="B14" s="34">
        <v>303.39913999999999</v>
      </c>
      <c r="C14" s="30">
        <v>25.972549999999998</v>
      </c>
      <c r="D14" s="30">
        <v>0.97448000000000001</v>
      </c>
      <c r="E14" s="29"/>
      <c r="F14" s="29"/>
      <c r="G14" s="9">
        <f t="shared" si="0"/>
        <v>3.2710379679967736</v>
      </c>
      <c r="H14" s="9">
        <f t="shared" si="1"/>
        <v>3.2710379679967736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164</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1.729862352572501</v>
      </c>
      <c r="H9" s="9">
        <f t="shared" ref="H9:H14" si="1">B9/(C9+$D$5)^D9</f>
        <v>1.729862352572501</v>
      </c>
      <c r="J9" s="29"/>
      <c r="K9" s="29"/>
      <c r="L9" s="30"/>
    </row>
    <row r="10" spans="1:12" x14ac:dyDescent="0.25">
      <c r="A10" s="31">
        <v>5</v>
      </c>
      <c r="B10" s="34">
        <v>253.72864999999999</v>
      </c>
      <c r="C10" s="30">
        <v>33.487439999999999</v>
      </c>
      <c r="D10" s="30">
        <v>1.0223599999999999</v>
      </c>
      <c r="E10" s="29"/>
      <c r="F10" s="29"/>
      <c r="G10" s="9">
        <f t="shared" si="0"/>
        <v>2.0395112482216851</v>
      </c>
      <c r="H10" s="9">
        <f t="shared" si="1"/>
        <v>2.0395112482216851</v>
      </c>
      <c r="J10" s="29"/>
      <c r="K10" s="29"/>
      <c r="L10" s="30"/>
    </row>
    <row r="11" spans="1:12" x14ac:dyDescent="0.25">
      <c r="A11" s="31">
        <v>10</v>
      </c>
      <c r="B11" s="34">
        <v>263.58690999999999</v>
      </c>
      <c r="C11" s="30">
        <v>31.99044</v>
      </c>
      <c r="D11" s="30">
        <v>1.0128299999999999</v>
      </c>
      <c r="E11" s="29"/>
      <c r="F11" s="29"/>
      <c r="G11" s="35">
        <f t="shared" si="0"/>
        <v>2.2466179022258954</v>
      </c>
      <c r="H11" s="117">
        <f t="shared" si="1"/>
        <v>2.2466179022258954</v>
      </c>
      <c r="J11" s="29"/>
      <c r="K11" s="29"/>
      <c r="L11" s="30"/>
    </row>
    <row r="12" spans="1:12" x14ac:dyDescent="0.25">
      <c r="A12" s="31">
        <v>25</v>
      </c>
      <c r="B12" s="34">
        <v>277.53219999999999</v>
      </c>
      <c r="C12" s="30">
        <v>29.921430000000001</v>
      </c>
      <c r="D12" s="30">
        <v>0.99948999999999999</v>
      </c>
      <c r="E12" s="29"/>
      <c r="F12" s="29"/>
      <c r="G12" s="9">
        <f t="shared" si="0"/>
        <v>2.5667461418733253</v>
      </c>
      <c r="H12" s="9">
        <f t="shared" si="1"/>
        <v>2.5667461418733253</v>
      </c>
      <c r="J12" s="29"/>
      <c r="K12" s="29"/>
      <c r="L12" s="30"/>
    </row>
    <row r="13" spans="1:12" x14ac:dyDescent="0.25">
      <c r="A13" s="31">
        <v>50</v>
      </c>
      <c r="B13" s="34">
        <v>286.46476000000001</v>
      </c>
      <c r="C13" s="30">
        <v>28.597670000000001</v>
      </c>
      <c r="D13" s="30">
        <v>0.99095</v>
      </c>
      <c r="E13" s="29"/>
      <c r="F13" s="29"/>
      <c r="G13" s="9">
        <f t="shared" si="0"/>
        <v>2.7913095242441304</v>
      </c>
      <c r="H13" s="9">
        <f t="shared" si="1"/>
        <v>2.7913095242441304</v>
      </c>
    </row>
    <row r="14" spans="1:12" x14ac:dyDescent="0.25">
      <c r="A14" s="31">
        <v>100</v>
      </c>
      <c r="B14" s="34">
        <v>295.10935000000001</v>
      </c>
      <c r="C14" s="30">
        <v>27.28867</v>
      </c>
      <c r="D14" s="30">
        <v>0.98262000000000005</v>
      </c>
      <c r="E14" s="29"/>
      <c r="F14" s="29"/>
      <c r="G14" s="9">
        <f t="shared" si="0"/>
        <v>3.0260523791245846</v>
      </c>
      <c r="H14" s="9">
        <f t="shared" si="1"/>
        <v>3.0260523791245846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165</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1.7793940715657255</v>
      </c>
      <c r="H9" s="9">
        <f t="shared" ref="H9:H14" si="1">B9/(C9+$D$5)^D9</f>
        <v>1.7793940715657255</v>
      </c>
      <c r="J9" s="29"/>
      <c r="K9" s="29"/>
      <c r="L9" s="30"/>
    </row>
    <row r="10" spans="1:12" x14ac:dyDescent="0.25">
      <c r="A10" s="31">
        <v>5</v>
      </c>
      <c r="B10" s="34">
        <v>254.71848</v>
      </c>
      <c r="C10" s="30">
        <v>33.335520000000002</v>
      </c>
      <c r="D10" s="30">
        <v>1.0214000000000001</v>
      </c>
      <c r="E10" s="29"/>
      <c r="F10" s="29"/>
      <c r="G10" s="9">
        <f t="shared" si="0"/>
        <v>2.0596170858155411</v>
      </c>
      <c r="H10" s="9">
        <f t="shared" si="1"/>
        <v>2.0596170858155411</v>
      </c>
      <c r="J10" s="29"/>
      <c r="K10" s="29"/>
      <c r="L10" s="30"/>
    </row>
    <row r="11" spans="1:12" x14ac:dyDescent="0.25">
      <c r="A11" s="31">
        <v>10</v>
      </c>
      <c r="B11" s="34">
        <v>264.71357</v>
      </c>
      <c r="C11" s="30">
        <v>31.821919999999999</v>
      </c>
      <c r="D11" s="30">
        <v>1.0117499999999999</v>
      </c>
      <c r="E11" s="29"/>
      <c r="F11" s="29"/>
      <c r="G11" s="35">
        <f t="shared" si="0"/>
        <v>2.2712195597276641</v>
      </c>
      <c r="H11" s="117">
        <f t="shared" si="1"/>
        <v>2.2712195597276641</v>
      </c>
      <c r="J11" s="29"/>
      <c r="K11" s="29"/>
      <c r="L11" s="30"/>
    </row>
    <row r="12" spans="1:12" x14ac:dyDescent="0.25">
      <c r="A12" s="31">
        <v>25</v>
      </c>
      <c r="B12" s="34">
        <v>276.98802000000001</v>
      </c>
      <c r="C12" s="30">
        <v>30.00177</v>
      </c>
      <c r="D12" s="30">
        <v>1.0000100000000001</v>
      </c>
      <c r="E12" s="29"/>
      <c r="F12" s="29"/>
      <c r="G12" s="9">
        <f t="shared" si="0"/>
        <v>2.5535862899304802</v>
      </c>
      <c r="H12" s="9">
        <f t="shared" si="1"/>
        <v>2.5535862899304802</v>
      </c>
      <c r="J12" s="29"/>
      <c r="K12" s="29"/>
      <c r="L12" s="30"/>
    </row>
    <row r="13" spans="1:12" x14ac:dyDescent="0.25">
      <c r="A13" s="31">
        <v>50</v>
      </c>
      <c r="B13" s="34">
        <v>286.34575000000001</v>
      </c>
      <c r="C13" s="30">
        <v>28.615590000000001</v>
      </c>
      <c r="D13" s="30">
        <v>0.99107000000000001</v>
      </c>
      <c r="E13" s="29"/>
      <c r="F13" s="29"/>
      <c r="G13" s="9">
        <f t="shared" si="0"/>
        <v>2.7881230811929498</v>
      </c>
      <c r="H13" s="9">
        <f t="shared" si="1"/>
        <v>2.7881230811929498</v>
      </c>
    </row>
    <row r="14" spans="1:12" x14ac:dyDescent="0.25">
      <c r="A14" s="31">
        <v>100</v>
      </c>
      <c r="B14" s="34">
        <v>294.57238000000001</v>
      </c>
      <c r="C14" s="30">
        <v>27.372150000000001</v>
      </c>
      <c r="D14" s="30">
        <v>0.98314000000000001</v>
      </c>
      <c r="E14" s="29"/>
      <c r="F14" s="29"/>
      <c r="G14" s="9">
        <f t="shared" si="0"/>
        <v>3.0108973453422152</v>
      </c>
      <c r="H14" s="9">
        <f t="shared" si="1"/>
        <v>3.0108973453422152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93" zoomScaleNormal="100" zoomScaleSheetLayoutView="100" workbookViewId="0">
      <selection activeCell="J115" sqref="J115"/>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4" spans="1:10" ht="8.25" customHeight="1" x14ac:dyDescent="0.25"/>
    <row r="5" spans="1:10" ht="19.5" customHeight="1" x14ac:dyDescent="0.25">
      <c r="A5" s="179" t="s">
        <v>426</v>
      </c>
      <c r="B5" s="180"/>
      <c r="C5" s="180"/>
      <c r="D5" s="180"/>
      <c r="E5" s="180"/>
      <c r="F5" s="180"/>
      <c r="G5" s="180"/>
      <c r="H5" s="180"/>
      <c r="I5" s="180"/>
      <c r="J5" s="167"/>
    </row>
    <row r="6" spans="1:10" ht="42" customHeight="1" x14ac:dyDescent="0.25">
      <c r="A6" s="180"/>
      <c r="B6" s="180"/>
      <c r="C6" s="180"/>
      <c r="D6" s="180"/>
      <c r="E6" s="180"/>
      <c r="F6" s="180"/>
      <c r="G6" s="180"/>
      <c r="H6" s="180"/>
      <c r="I6" s="180"/>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43.3</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402</v>
      </c>
      <c r="B13" s="177" t="s">
        <v>407</v>
      </c>
      <c r="C13" s="177"/>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6" t="s">
        <v>6</v>
      </c>
      <c r="G15" s="176"/>
      <c r="H15" s="46"/>
      <c r="I15" s="46"/>
      <c r="J15" s="46"/>
    </row>
    <row r="16" spans="1:10" x14ac:dyDescent="0.25">
      <c r="A16" s="46"/>
      <c r="B16" s="46"/>
      <c r="C16" s="114">
        <v>3.34</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5">
      <c r="A17" s="46"/>
      <c r="B17" s="46"/>
      <c r="C17" s="114">
        <v>32.08</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8" t="s">
        <v>385</v>
      </c>
      <c r="G17" s="178"/>
      <c r="H17" s="46"/>
      <c r="I17" s="46"/>
      <c r="J17" s="46"/>
    </row>
    <row r="18" spans="1:10" x14ac:dyDescent="0.25">
      <c r="A18" s="46"/>
      <c r="B18" s="46"/>
      <c r="C18" s="114">
        <v>2.4</v>
      </c>
      <c r="D18" s="50" t="s">
        <v>3</v>
      </c>
      <c r="E18" s="48">
        <f>IF(ISBLANK(F18),0,IF($B$13='Runoff Coeficients (C)'!$I$8,VLOOKUP(F18,'Runoff Coeficients (C)'!$C$8:$F$40,2,FALSE),IF($B$13='Runoff Coeficients (C)'!$I$9,VLOOKUP(F18,'Runoff Coeficients (C)'!$C$8:$F$40,3,FALSE),IF($B$13='Runoff Coeficients (C)'!$I$10,VLOOKUP(F18,'Runoff Coeficients (C)'!$C$8:$F$40,4,FALSE),"UPDATE"))))</f>
        <v>0.53</v>
      </c>
      <c r="F18" s="178" t="s">
        <v>379</v>
      </c>
      <c r="G18" s="178"/>
      <c r="H18" s="46"/>
      <c r="I18" s="46"/>
      <c r="J18" s="46"/>
    </row>
    <row r="19" spans="1:10" x14ac:dyDescent="0.25">
      <c r="A19" s="46"/>
      <c r="B19" s="46"/>
      <c r="C19" s="114">
        <v>5.48</v>
      </c>
      <c r="D19" s="50" t="s">
        <v>3</v>
      </c>
      <c r="E19" s="48">
        <f>IF(ISBLANK(F19),0,IF($B$13='Runoff Coeficients (C)'!$I$8,VLOOKUP(F19,'Runoff Coeficients (C)'!$C$8:$F$40,2,FALSE),IF($B$13='Runoff Coeficients (C)'!$I$9,VLOOKUP(F19,'Runoff Coeficients (C)'!$C$8:$F$40,3,FALSE),IF($B$13='Runoff Coeficients (C)'!$I$10,VLOOKUP(F19,'Runoff Coeficients (C)'!$C$8:$F$40,4,FALSE),"UPDATE"))))</f>
        <v>0.15</v>
      </c>
      <c r="F19" s="178" t="s">
        <v>395</v>
      </c>
      <c r="G19" s="178"/>
      <c r="H19" s="46"/>
      <c r="I19" s="46"/>
      <c r="J19" s="46"/>
    </row>
    <row r="20" spans="1:10" x14ac:dyDescent="0.25">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v>
      </c>
      <c r="F20" s="178"/>
      <c r="G20" s="178"/>
      <c r="H20" s="46"/>
      <c r="I20" s="46"/>
      <c r="J20" s="46"/>
    </row>
    <row r="21" spans="1:10" x14ac:dyDescent="0.25">
      <c r="A21" s="46"/>
      <c r="B21" s="46"/>
      <c r="C21" s="114">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8"/>
      <c r="G21" s="178"/>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0.30300230946882223</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159</v>
      </c>
      <c r="B26" s="46"/>
      <c r="C26" s="46"/>
      <c r="D26" s="46"/>
      <c r="E26" s="46"/>
      <c r="F26" s="46"/>
      <c r="G26" s="46"/>
      <c r="H26" s="46"/>
      <c r="I26" s="46"/>
      <c r="J26" s="46"/>
    </row>
    <row r="27" spans="1:10" x14ac:dyDescent="0.25">
      <c r="A27" s="46"/>
      <c r="B27" s="46"/>
      <c r="C27" s="46" t="s">
        <v>8</v>
      </c>
      <c r="D27" s="46"/>
      <c r="E27" s="46"/>
      <c r="F27" s="53">
        <f>'tc-pre'!D48</f>
        <v>1.307722474484394</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1.8375644384778316</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2.3127386640389949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2.6050137880079514</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2.8313291870951591</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3.0499868435377424</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0.30300230946882223</v>
      </c>
      <c r="E43" s="48">
        <f>G33</f>
        <v>1.8375644384778316</v>
      </c>
      <c r="F43" s="48">
        <f>$E$10</f>
        <v>43.3</v>
      </c>
      <c r="G43" s="50" t="s">
        <v>22</v>
      </c>
      <c r="H43" s="48">
        <f>C43*D43*E43*F43</f>
        <v>24.108845432829153</v>
      </c>
      <c r="I43" s="46" t="s">
        <v>33</v>
      </c>
    </row>
    <row r="44" spans="1:10" x14ac:dyDescent="0.25">
      <c r="A44" s="46"/>
      <c r="B44" s="50">
        <v>10</v>
      </c>
      <c r="C44" s="50">
        <v>1</v>
      </c>
      <c r="D44" s="48">
        <f>$H$23</f>
        <v>0.30300230946882223</v>
      </c>
      <c r="E44" s="48">
        <f>G34</f>
        <v>2.3127386640389949</v>
      </c>
      <c r="F44" s="48">
        <f>$E$10</f>
        <v>43.3</v>
      </c>
      <c r="G44" s="50" t="s">
        <v>22</v>
      </c>
      <c r="H44" s="48">
        <f>C44*D44*E44*F44</f>
        <v>30.343131272191616</v>
      </c>
      <c r="I44" s="46" t="s">
        <v>33</v>
      </c>
    </row>
    <row r="45" spans="1:10" x14ac:dyDescent="0.25">
      <c r="A45" s="46"/>
      <c r="B45" s="50">
        <v>25</v>
      </c>
      <c r="C45" s="50">
        <v>1.1000000000000001</v>
      </c>
      <c r="D45" s="48">
        <f>$H$23</f>
        <v>0.30300230946882223</v>
      </c>
      <c r="E45" s="48">
        <f>G35</f>
        <v>2.6050137880079514</v>
      </c>
      <c r="F45" s="48">
        <f>$E$10</f>
        <v>43.3</v>
      </c>
      <c r="G45" s="50" t="s">
        <v>22</v>
      </c>
      <c r="H45" s="48">
        <f>C45*D45*E45*F45</f>
        <v>37.595558988530762</v>
      </c>
      <c r="I45" s="46" t="s">
        <v>33</v>
      </c>
    </row>
    <row r="46" spans="1:10" x14ac:dyDescent="0.25">
      <c r="A46" s="46"/>
      <c r="B46" s="50">
        <v>50</v>
      </c>
      <c r="C46" s="50">
        <v>1.2</v>
      </c>
      <c r="D46" s="48">
        <f>$H$23</f>
        <v>0.30300230946882223</v>
      </c>
      <c r="E46" s="48">
        <f>G36</f>
        <v>2.8313291870951591</v>
      </c>
      <c r="F46" s="48">
        <f>$E$10</f>
        <v>43.3</v>
      </c>
      <c r="G46" s="50" t="s">
        <v>22</v>
      </c>
      <c r="H46" s="48">
        <f>C46*D46*E46*F46</f>
        <v>44.576446721626191</v>
      </c>
      <c r="I46" s="46" t="s">
        <v>33</v>
      </c>
    </row>
    <row r="47" spans="1:10" x14ac:dyDescent="0.25">
      <c r="A47" s="46"/>
      <c r="B47" s="50">
        <v>100</v>
      </c>
      <c r="C47" s="50">
        <v>1.25</v>
      </c>
      <c r="D47" s="48">
        <f>$H$23</f>
        <v>0.30300230946882223</v>
      </c>
      <c r="E47" s="48">
        <f>G37</f>
        <v>3.0499868435377424</v>
      </c>
      <c r="F47" s="48">
        <f>$E$10</f>
        <v>43.3</v>
      </c>
      <c r="G47" s="50" t="s">
        <v>22</v>
      </c>
      <c r="H47" s="48">
        <f>C47*D47*E47*F47</f>
        <v>50.019784234018985</v>
      </c>
      <c r="I47" s="46" t="s">
        <v>33</v>
      </c>
    </row>
    <row r="48" spans="1:10" x14ac:dyDescent="0.25">
      <c r="A48" s="46"/>
      <c r="B48" s="46"/>
      <c r="C48" s="50"/>
      <c r="D48" s="50"/>
      <c r="E48" s="48"/>
      <c r="F48" s="48"/>
      <c r="G48" s="50"/>
      <c r="H48" s="50"/>
      <c r="I48" s="59"/>
      <c r="J48" s="46"/>
    </row>
    <row r="50" spans="1:10" s="44" customFormat="1" x14ac:dyDescent="0.25">
      <c r="A50" s="44" t="str">
        <f>A2</f>
        <v>Outfall #25 Rt. Sta. 782+00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79" t="s">
        <v>427</v>
      </c>
      <c r="B54" s="180"/>
      <c r="C54" s="180"/>
      <c r="D54" s="180"/>
      <c r="E54" s="180"/>
      <c r="F54" s="180"/>
      <c r="G54" s="180"/>
      <c r="H54" s="180"/>
      <c r="I54" s="180"/>
      <c r="J54" s="167"/>
    </row>
    <row r="56" spans="1:10" x14ac:dyDescent="0.25">
      <c r="A56" s="44" t="s">
        <v>24</v>
      </c>
    </row>
    <row r="58" spans="1:10" ht="47.25" customHeight="1" x14ac:dyDescent="0.25">
      <c r="A58" s="179" t="s">
        <v>428</v>
      </c>
      <c r="B58" s="180"/>
      <c r="C58" s="180"/>
      <c r="D58" s="180"/>
      <c r="E58" s="180"/>
      <c r="F58" s="180"/>
      <c r="G58" s="180"/>
      <c r="H58" s="180"/>
      <c r="I58" s="180"/>
      <c r="J58" s="167"/>
    </row>
    <row r="60" spans="1:10" x14ac:dyDescent="0.25">
      <c r="C60" s="43" t="s">
        <v>25</v>
      </c>
      <c r="G60" s="115">
        <v>43.3</v>
      </c>
      <c r="H60" s="43" t="s">
        <v>26</v>
      </c>
    </row>
    <row r="62" spans="1:10" x14ac:dyDescent="0.25">
      <c r="C62" s="43" t="s">
        <v>34</v>
      </c>
      <c r="G62" s="122">
        <f>C68-C16</f>
        <v>1.7000000000000002</v>
      </c>
      <c r="H62" s="43" t="s">
        <v>26</v>
      </c>
    </row>
    <row r="63" spans="1:10" x14ac:dyDescent="0.25">
      <c r="G63" s="60"/>
    </row>
    <row r="64" spans="1:10" x14ac:dyDescent="0.25">
      <c r="A64" s="61" t="s">
        <v>4</v>
      </c>
      <c r="B64" s="61"/>
      <c r="C64" s="61"/>
      <c r="D64" s="61"/>
    </row>
    <row r="65" spans="1:8" x14ac:dyDescent="0.25">
      <c r="A65" s="161" t="s">
        <v>402</v>
      </c>
      <c r="B65" s="177" t="s">
        <v>407</v>
      </c>
      <c r="C65" s="177"/>
    </row>
    <row r="67" spans="1:8" x14ac:dyDescent="0.25">
      <c r="C67" s="62" t="s">
        <v>2</v>
      </c>
      <c r="D67" s="62"/>
      <c r="E67" s="62" t="s">
        <v>5</v>
      </c>
      <c r="F67" s="175" t="s">
        <v>6</v>
      </c>
      <c r="G67" s="175"/>
    </row>
    <row r="68" spans="1:8" x14ac:dyDescent="0.25">
      <c r="C68" s="114">
        <v>5.04</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5">
      <c r="C69" s="114">
        <v>30.38</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8" t="s">
        <v>385</v>
      </c>
      <c r="G69" s="178"/>
    </row>
    <row r="70" spans="1:8" ht="12.75" customHeight="1" x14ac:dyDescent="0.25">
      <c r="C70" s="114">
        <v>2.4</v>
      </c>
      <c r="D70" s="50" t="s">
        <v>3</v>
      </c>
      <c r="E70" s="48">
        <f>IF(ISBLANK(F70),0,IF($B$65='Runoff Coeficients (C)'!$I$8,VLOOKUP(F70,'Runoff Coeficients (C)'!$C$8:$F$40,2,FALSE),IF($B$65='Runoff Coeficients (C)'!$I$9,VLOOKUP(F70,'Runoff Coeficients (C)'!$C$8:$F$40,3,FALSE),IF($B$65='Runoff Coeficients (C)'!$I$10,VLOOKUP(F70,'Runoff Coeficients (C)'!$C$8:$F$40,4,FALSE),"UPDATE"))))</f>
        <v>0.53</v>
      </c>
      <c r="F70" s="178" t="s">
        <v>379</v>
      </c>
      <c r="G70" s="178"/>
    </row>
    <row r="71" spans="1:8" ht="12.75" customHeight="1" x14ac:dyDescent="0.25">
      <c r="C71" s="114">
        <v>5.48</v>
      </c>
      <c r="D71" s="50" t="s">
        <v>3</v>
      </c>
      <c r="E71" s="48">
        <f>IF(ISBLANK(F71),0,IF($B$65='Runoff Coeficients (C)'!$I$8,VLOOKUP(F71,'Runoff Coeficients (C)'!$C$8:$F$40,2,FALSE),IF($B$65='Runoff Coeficients (C)'!$I$9,VLOOKUP(F71,'Runoff Coeficients (C)'!$C$8:$F$40,3,FALSE),IF($B$65='Runoff Coeficients (C)'!$I$10,VLOOKUP(F71,'Runoff Coeficients (C)'!$C$8:$F$40,4,FALSE),"UPDATE"))))</f>
        <v>0.15</v>
      </c>
      <c r="F71" s="178" t="s">
        <v>395</v>
      </c>
      <c r="G71" s="178"/>
    </row>
    <row r="72" spans="1:8" x14ac:dyDescent="0.25">
      <c r="C72" s="114">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8" t="s">
        <v>396</v>
      </c>
      <c r="G72" s="178"/>
    </row>
    <row r="73" spans="1:8" x14ac:dyDescent="0.25">
      <c r="C73" s="114">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397</v>
      </c>
      <c r="G73" s="178"/>
    </row>
    <row r="74" spans="1:8" x14ac:dyDescent="0.25">
      <c r="F74" s="50"/>
      <c r="G74" s="50"/>
    </row>
    <row r="75" spans="1:8" ht="12" customHeight="1" x14ac:dyDescent="0.25">
      <c r="F75" s="43" t="s">
        <v>7</v>
      </c>
      <c r="H75" s="52">
        <f>((C68*E68)+(C69*E69)+(C73*E73)+(C72*E72)+(C70*E70)+(C71*E71))/G60</f>
        <v>0.32852193995381068</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1.307722474484394</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1.8375644384778316</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2.3127386640389949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2.6050137880079514</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2.8313291870951591</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3.0499868435377424</v>
      </c>
    </row>
    <row r="91" spans="1:10" x14ac:dyDescent="0.25">
      <c r="G91" s="66"/>
    </row>
    <row r="93" spans="1:10" s="44" customFormat="1" x14ac:dyDescent="0.25">
      <c r="A93" s="44" t="str">
        <f>A2</f>
        <v>Outfall #25 Rt. Sta. 782+00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0.32852193995381068</v>
      </c>
      <c r="E103" s="69">
        <f>G86</f>
        <v>1.8375644384778316</v>
      </c>
      <c r="F103" s="68">
        <f>$G$60</f>
        <v>43.3</v>
      </c>
      <c r="G103" s="62" t="s">
        <v>22</v>
      </c>
      <c r="H103" s="68">
        <f>C103*D103*E103*F103</f>
        <v>26.139354137347159</v>
      </c>
      <c r="I103" s="43" t="s">
        <v>33</v>
      </c>
    </row>
    <row r="104" spans="1:10" ht="12.75" customHeight="1" x14ac:dyDescent="0.25">
      <c r="B104" s="62">
        <v>10</v>
      </c>
      <c r="C104" s="62">
        <v>1</v>
      </c>
      <c r="D104" s="68">
        <f>$H$75</f>
        <v>0.32852193995381068</v>
      </c>
      <c r="E104" s="69">
        <f>G87</f>
        <v>2.3127386640389949</v>
      </c>
      <c r="F104" s="68">
        <f>$G$60</f>
        <v>43.3</v>
      </c>
      <c r="G104" s="62" t="s">
        <v>22</v>
      </c>
      <c r="H104" s="68">
        <f>C104*D104*E104*F104</f>
        <v>32.898707495954703</v>
      </c>
      <c r="I104" s="43" t="s">
        <v>33</v>
      </c>
    </row>
    <row r="105" spans="1:10" ht="12.75" customHeight="1" x14ac:dyDescent="0.25">
      <c r="B105" s="62">
        <v>25</v>
      </c>
      <c r="C105" s="62">
        <v>1.1000000000000001</v>
      </c>
      <c r="D105" s="68">
        <f>$H$75</f>
        <v>0.32852193995381068</v>
      </c>
      <c r="E105" s="69">
        <f>G88</f>
        <v>2.6050137880079514</v>
      </c>
      <c r="F105" s="68">
        <f>$G$60</f>
        <v>43.3</v>
      </c>
      <c r="G105" s="62" t="s">
        <v>22</v>
      </c>
      <c r="H105" s="68">
        <f>C105*D105*E105*F105</f>
        <v>40.761953247854422</v>
      </c>
      <c r="I105" s="43" t="s">
        <v>33</v>
      </c>
    </row>
    <row r="106" spans="1:10" ht="12.75" customHeight="1" x14ac:dyDescent="0.25">
      <c r="B106" s="62">
        <v>50</v>
      </c>
      <c r="C106" s="62">
        <v>1.2</v>
      </c>
      <c r="D106" s="68">
        <f>$H$75</f>
        <v>0.32852193995381068</v>
      </c>
      <c r="E106" s="69">
        <f>G89</f>
        <v>2.8313291870951591</v>
      </c>
      <c r="F106" s="68">
        <f>$G$60</f>
        <v>43.3</v>
      </c>
      <c r="G106" s="62" t="s">
        <v>22</v>
      </c>
      <c r="H106" s="68">
        <f>C106*D106*E106*F106</f>
        <v>48.330789223714369</v>
      </c>
      <c r="I106" s="43" t="s">
        <v>33</v>
      </c>
    </row>
    <row r="107" spans="1:10" ht="12.75" customHeight="1" x14ac:dyDescent="0.25">
      <c r="B107" s="62">
        <v>100</v>
      </c>
      <c r="C107" s="62">
        <v>1.25</v>
      </c>
      <c r="D107" s="68">
        <f>$H$75</f>
        <v>0.32852193995381068</v>
      </c>
      <c r="E107" s="69">
        <f>G90</f>
        <v>3.0499868435377424</v>
      </c>
      <c r="F107" s="68">
        <f>$G$60</f>
        <v>43.3</v>
      </c>
      <c r="G107" s="62" t="s">
        <v>22</v>
      </c>
      <c r="H107" s="68">
        <f>C107*D107*E107*F107</f>
        <v>54.232578561655487</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24.108845432829153</v>
      </c>
      <c r="E112" s="48">
        <f>H103</f>
        <v>26.139354137347159</v>
      </c>
      <c r="F112" s="48">
        <f>E112-D112</f>
        <v>2.0305087045180059</v>
      </c>
      <c r="G112" s="71">
        <f>F112/D112</f>
        <v>8.4222560975609831E-2</v>
      </c>
      <c r="H112" s="46"/>
      <c r="I112" s="46"/>
      <c r="J112" s="46"/>
    </row>
    <row r="113" spans="1:10" x14ac:dyDescent="0.25">
      <c r="A113" s="46"/>
      <c r="B113" s="46"/>
      <c r="C113" s="50">
        <v>10</v>
      </c>
      <c r="D113" s="48">
        <f>H44</f>
        <v>30.343131272191616</v>
      </c>
      <c r="E113" s="48">
        <f>H104</f>
        <v>32.898707495954703</v>
      </c>
      <c r="F113" s="48">
        <f>E113-D113</f>
        <v>2.5555762237630866</v>
      </c>
      <c r="G113" s="71">
        <f>F113/D113</f>
        <v>8.422256097560965E-2</v>
      </c>
      <c r="H113" s="46"/>
      <c r="I113" s="46"/>
      <c r="J113" s="46"/>
    </row>
    <row r="114" spans="1:10" x14ac:dyDescent="0.25">
      <c r="A114" s="46"/>
      <c r="B114" s="46"/>
      <c r="C114" s="46"/>
      <c r="D114" s="46"/>
      <c r="E114" s="46"/>
      <c r="F114" s="46"/>
      <c r="G114" s="46"/>
      <c r="H114" s="46"/>
      <c r="I114" s="46"/>
      <c r="J114" s="46"/>
    </row>
    <row r="115" spans="1:10" ht="57.75" customHeight="1" x14ac:dyDescent="0.25">
      <c r="A115" s="179" t="s">
        <v>429</v>
      </c>
      <c r="B115" s="180"/>
      <c r="C115" s="180"/>
      <c r="D115" s="180"/>
      <c r="E115" s="180"/>
      <c r="F115" s="180"/>
      <c r="G115" s="180"/>
      <c r="H115" s="180"/>
      <c r="I115" s="180"/>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173</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1.7353085809139634</v>
      </c>
      <c r="H9" s="9">
        <f t="shared" ref="H9:H14" si="1">B9/(C9+$D$5)^D9</f>
        <v>1.7353085809139634</v>
      </c>
      <c r="J9" s="29"/>
      <c r="K9" s="29"/>
      <c r="L9" s="30"/>
    </row>
    <row r="10" spans="1:12" x14ac:dyDescent="0.25">
      <c r="A10" s="31">
        <v>5</v>
      </c>
      <c r="B10" s="34">
        <v>253.32925</v>
      </c>
      <c r="C10" s="30">
        <v>33.549219999999998</v>
      </c>
      <c r="D10" s="30">
        <v>1.02275</v>
      </c>
      <c r="E10" s="29"/>
      <c r="F10" s="29"/>
      <c r="G10" s="9">
        <f t="shared" si="0"/>
        <v>2.0314108272205917</v>
      </c>
      <c r="H10" s="9">
        <f t="shared" si="1"/>
        <v>2.0314108272205917</v>
      </c>
      <c r="J10" s="29"/>
      <c r="K10" s="29"/>
      <c r="L10" s="30"/>
    </row>
    <row r="11" spans="1:12" x14ac:dyDescent="0.25">
      <c r="A11" s="31">
        <v>10</v>
      </c>
      <c r="B11" s="34">
        <v>262.87425000000002</v>
      </c>
      <c r="C11" s="30">
        <v>32.097470000000001</v>
      </c>
      <c r="D11" s="30">
        <v>1.01352</v>
      </c>
      <c r="E11" s="29"/>
      <c r="F11" s="29"/>
      <c r="G11" s="35">
        <f t="shared" si="0"/>
        <v>2.231091145918557</v>
      </c>
      <c r="H11" s="117">
        <f t="shared" si="1"/>
        <v>2.231091145918557</v>
      </c>
      <c r="J11" s="29"/>
      <c r="K11" s="29"/>
      <c r="L11" s="30"/>
    </row>
    <row r="12" spans="1:12" x14ac:dyDescent="0.25">
      <c r="A12" s="31">
        <v>25</v>
      </c>
      <c r="B12" s="34">
        <v>276.43448999999998</v>
      </c>
      <c r="C12" s="30">
        <v>30.083480000000002</v>
      </c>
      <c r="D12" s="30">
        <v>1.00054</v>
      </c>
      <c r="E12" s="29"/>
      <c r="F12" s="29"/>
      <c r="G12" s="9">
        <f t="shared" si="0"/>
        <v>2.5402464662098359</v>
      </c>
      <c r="H12" s="9">
        <f t="shared" si="1"/>
        <v>2.5402464662098359</v>
      </c>
      <c r="J12" s="29"/>
      <c r="K12" s="29"/>
      <c r="L12" s="30"/>
    </row>
    <row r="13" spans="1:12" x14ac:dyDescent="0.25">
      <c r="A13" s="31">
        <v>50</v>
      </c>
      <c r="B13" s="34">
        <v>285.47241000000002</v>
      </c>
      <c r="C13" s="30">
        <v>28.74568</v>
      </c>
      <c r="D13" s="30">
        <v>0.9919</v>
      </c>
      <c r="E13" s="29"/>
      <c r="F13" s="29"/>
      <c r="G13" s="9">
        <f t="shared" si="0"/>
        <v>2.7655254216588974</v>
      </c>
      <c r="H13" s="9">
        <f t="shared" si="1"/>
        <v>2.7655254216588974</v>
      </c>
    </row>
    <row r="14" spans="1:12" x14ac:dyDescent="0.25">
      <c r="A14" s="31">
        <v>100</v>
      </c>
      <c r="B14" s="34">
        <v>293.96606000000003</v>
      </c>
      <c r="C14" s="30">
        <v>27.46491</v>
      </c>
      <c r="D14" s="30">
        <v>0.98372999999999999</v>
      </c>
      <c r="E14" s="29"/>
      <c r="F14" s="29"/>
      <c r="G14" s="9">
        <f t="shared" si="0"/>
        <v>2.9938656116558318</v>
      </c>
      <c r="H14" s="9">
        <f t="shared" si="1"/>
        <v>2.9938656116558318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166</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2.0938896245416081</v>
      </c>
      <c r="H9" s="9">
        <f t="shared" ref="H9:H14" si="1">B9/(C9+$D$5)^D9</f>
        <v>2.0938896245416081</v>
      </c>
      <c r="J9" s="29"/>
      <c r="K9" s="29"/>
      <c r="L9" s="30"/>
    </row>
    <row r="10" spans="1:12" x14ac:dyDescent="0.25">
      <c r="A10" s="31">
        <v>5</v>
      </c>
      <c r="B10" s="34">
        <v>269.50522000000001</v>
      </c>
      <c r="C10" s="30">
        <v>31.108280000000001</v>
      </c>
      <c r="D10" s="30">
        <v>1.0071600000000001</v>
      </c>
      <c r="E10" s="29"/>
      <c r="F10" s="29"/>
      <c r="G10" s="9">
        <f t="shared" si="0"/>
        <v>2.3782900921556189</v>
      </c>
      <c r="H10" s="9">
        <f t="shared" si="1"/>
        <v>2.3782900921556189</v>
      </c>
      <c r="J10" s="29"/>
      <c r="K10" s="29"/>
      <c r="L10" s="30"/>
    </row>
    <row r="11" spans="1:12" x14ac:dyDescent="0.25">
      <c r="A11" s="31">
        <v>10</v>
      </c>
      <c r="B11" s="34">
        <v>277.79628000000002</v>
      </c>
      <c r="C11" s="30">
        <v>28.882449999999999</v>
      </c>
      <c r="D11" s="30">
        <v>0.99924000000000002</v>
      </c>
      <c r="E11" s="29"/>
      <c r="F11" s="29"/>
      <c r="G11" s="35">
        <f t="shared" si="0"/>
        <v>2.5970766743773059</v>
      </c>
      <c r="H11" s="117">
        <f t="shared" si="1"/>
        <v>2.5970766743773059</v>
      </c>
      <c r="J11" s="29"/>
      <c r="K11" s="29"/>
      <c r="L11" s="30"/>
    </row>
    <row r="12" spans="1:12" x14ac:dyDescent="0.25">
      <c r="A12" s="31">
        <v>25</v>
      </c>
      <c r="B12" s="34">
        <v>288.37076999999999</v>
      </c>
      <c r="C12" s="30">
        <v>28.31259</v>
      </c>
      <c r="D12" s="30">
        <v>0.98912</v>
      </c>
      <c r="E12" s="29"/>
      <c r="F12" s="29"/>
      <c r="G12" s="9">
        <f t="shared" si="0"/>
        <v>2.8414998041446489</v>
      </c>
      <c r="H12" s="9">
        <f t="shared" si="1"/>
        <v>2.8414998041446489</v>
      </c>
      <c r="J12" s="29"/>
      <c r="K12" s="29"/>
      <c r="L12" s="30"/>
    </row>
    <row r="13" spans="1:12" x14ac:dyDescent="0.25">
      <c r="A13" s="31">
        <v>50</v>
      </c>
      <c r="B13" s="34">
        <v>295.59257000000002</v>
      </c>
      <c r="C13" s="30">
        <v>27.21407</v>
      </c>
      <c r="D13" s="30">
        <v>0.98214999999999997</v>
      </c>
      <c r="E13" s="29"/>
      <c r="F13" s="29"/>
      <c r="G13" s="9">
        <f t="shared" si="0"/>
        <v>3.0397607292205882</v>
      </c>
      <c r="H13" s="9">
        <f t="shared" si="1"/>
        <v>3.0397607292205882</v>
      </c>
    </row>
    <row r="14" spans="1:12" x14ac:dyDescent="0.25">
      <c r="A14" s="31">
        <v>100</v>
      </c>
      <c r="B14" s="34">
        <v>302.0052</v>
      </c>
      <c r="C14" s="30">
        <v>26.200060000000001</v>
      </c>
      <c r="D14" s="30">
        <v>0.97585999999999995</v>
      </c>
      <c r="E14" s="29"/>
      <c r="F14" s="29"/>
      <c r="G14" s="9">
        <f t="shared" si="0"/>
        <v>3.2283260846310506</v>
      </c>
      <c r="H14" s="9">
        <f t="shared" si="1"/>
        <v>3.2283260846310506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167</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1.8802688309313065</v>
      </c>
      <c r="H9" s="9">
        <f t="shared" ref="H9:H14" si="1">B9/(C9+$D$5)^D9</f>
        <v>1.8802688309313065</v>
      </c>
      <c r="J9" s="29"/>
      <c r="K9" s="29"/>
      <c r="L9" s="30"/>
    </row>
    <row r="10" spans="1:12" x14ac:dyDescent="0.25">
      <c r="A10" s="31">
        <v>5</v>
      </c>
      <c r="B10" s="34">
        <v>258.82004999999998</v>
      </c>
      <c r="C10" s="30">
        <v>32.709200000000003</v>
      </c>
      <c r="D10" s="30">
        <v>1.01742</v>
      </c>
      <c r="E10" s="29"/>
      <c r="F10" s="29"/>
      <c r="G10" s="9">
        <f t="shared" si="0"/>
        <v>2.1446630916497065</v>
      </c>
      <c r="H10" s="9">
        <f t="shared" si="1"/>
        <v>2.1446630916497065</v>
      </c>
      <c r="J10" s="29"/>
      <c r="K10" s="29"/>
      <c r="L10" s="30"/>
    </row>
    <row r="11" spans="1:12" x14ac:dyDescent="0.25">
      <c r="A11" s="31">
        <v>10</v>
      </c>
      <c r="B11" s="34">
        <v>268.10935999999998</v>
      </c>
      <c r="C11" s="30">
        <v>31.315519999999999</v>
      </c>
      <c r="D11" s="30">
        <v>1.0085</v>
      </c>
      <c r="E11" s="29"/>
      <c r="F11" s="29"/>
      <c r="G11" s="35">
        <f t="shared" si="0"/>
        <v>2.3466526833749994</v>
      </c>
      <c r="H11" s="117">
        <f t="shared" si="1"/>
        <v>2.3466526833749994</v>
      </c>
      <c r="J11" s="29"/>
      <c r="K11" s="29"/>
      <c r="L11" s="30"/>
    </row>
    <row r="12" spans="1:12" x14ac:dyDescent="0.25">
      <c r="A12" s="31">
        <v>25</v>
      </c>
      <c r="B12" s="34">
        <v>280.32646</v>
      </c>
      <c r="C12" s="30">
        <v>29.508700000000001</v>
      </c>
      <c r="D12" s="30">
        <v>0.99682000000000004</v>
      </c>
      <c r="E12" s="29"/>
      <c r="F12" s="29"/>
      <c r="G12" s="9">
        <f t="shared" si="0"/>
        <v>2.6352309457454295</v>
      </c>
      <c r="H12" s="9">
        <f t="shared" si="1"/>
        <v>2.6352309457454295</v>
      </c>
      <c r="J12" s="29"/>
      <c r="K12" s="29"/>
      <c r="L12" s="30"/>
    </row>
    <row r="13" spans="1:12" x14ac:dyDescent="0.25">
      <c r="A13" s="31">
        <v>50</v>
      </c>
      <c r="B13" s="34">
        <v>288.72570999999999</v>
      </c>
      <c r="C13" s="30">
        <v>28.259239999999998</v>
      </c>
      <c r="D13" s="30">
        <v>0.98877999999999999</v>
      </c>
      <c r="E13" s="29"/>
      <c r="F13" s="29"/>
      <c r="G13" s="9">
        <f t="shared" si="0"/>
        <v>2.8509273088053382</v>
      </c>
      <c r="H13" s="9">
        <f t="shared" si="1"/>
        <v>2.8509273088053382</v>
      </c>
    </row>
    <row r="14" spans="1:12" x14ac:dyDescent="0.25">
      <c r="A14" s="31">
        <v>100</v>
      </c>
      <c r="B14" s="34">
        <v>296.68747999999999</v>
      </c>
      <c r="C14" s="30">
        <v>27.044270000000001</v>
      </c>
      <c r="D14" s="30">
        <v>0.98107999999999995</v>
      </c>
      <c r="E14" s="29"/>
      <c r="F14" s="29"/>
      <c r="G14" s="9">
        <f t="shared" si="0"/>
        <v>3.0711139411439454</v>
      </c>
      <c r="H14" s="9">
        <f t="shared" si="1"/>
        <v>3.0711139411439454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168</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1.7677621150104728</v>
      </c>
      <c r="H9" s="9">
        <f t="shared" ref="H9:H14" si="1">B9/(C9+$D$5)^D9</f>
        <v>1.7677621150104728</v>
      </c>
      <c r="J9" s="29"/>
      <c r="K9" s="29"/>
      <c r="L9" s="30"/>
    </row>
    <row r="10" spans="1:12" x14ac:dyDescent="0.25">
      <c r="A10" s="31">
        <v>5</v>
      </c>
      <c r="B10" s="34">
        <v>254.10798</v>
      </c>
      <c r="C10" s="30">
        <v>33.429119999999998</v>
      </c>
      <c r="D10" s="30">
        <v>1.02199</v>
      </c>
      <c r="E10" s="29"/>
      <c r="F10" s="29"/>
      <c r="G10" s="9">
        <f t="shared" si="0"/>
        <v>2.047219068544532</v>
      </c>
      <c r="H10" s="9">
        <f t="shared" si="1"/>
        <v>2.047219068544532</v>
      </c>
      <c r="J10" s="29"/>
      <c r="K10" s="29"/>
      <c r="L10" s="30"/>
    </row>
    <row r="11" spans="1:12" x14ac:dyDescent="0.25">
      <c r="A11" s="31">
        <v>10</v>
      </c>
      <c r="B11" s="34">
        <v>264.19040000000001</v>
      </c>
      <c r="C11" s="30">
        <v>31.900130000000001</v>
      </c>
      <c r="D11" s="30">
        <v>1.0122500000000001</v>
      </c>
      <c r="E11" s="29"/>
      <c r="F11" s="29"/>
      <c r="G11" s="35">
        <f t="shared" si="0"/>
        <v>2.25978458222116</v>
      </c>
      <c r="H11" s="117">
        <f t="shared" si="1"/>
        <v>2.25978458222116</v>
      </c>
      <c r="J11" s="29"/>
      <c r="K11" s="29"/>
      <c r="L11" s="30"/>
    </row>
    <row r="12" spans="1:12" x14ac:dyDescent="0.25">
      <c r="A12" s="31">
        <v>25</v>
      </c>
      <c r="B12" s="34">
        <v>277.46460000000002</v>
      </c>
      <c r="C12" s="30">
        <v>29.93141</v>
      </c>
      <c r="D12" s="30">
        <v>0.99956</v>
      </c>
      <c r="E12" s="29"/>
      <c r="F12" s="29"/>
      <c r="G12" s="9">
        <f t="shared" si="0"/>
        <v>2.5650433173464475</v>
      </c>
      <c r="H12" s="9">
        <f t="shared" si="1"/>
        <v>2.5650433173464475</v>
      </c>
      <c r="J12" s="29"/>
      <c r="K12" s="29"/>
      <c r="L12" s="30"/>
    </row>
    <row r="13" spans="1:12" x14ac:dyDescent="0.25">
      <c r="A13" s="31">
        <v>50</v>
      </c>
      <c r="B13" s="34">
        <v>286.11426999999998</v>
      </c>
      <c r="C13" s="30">
        <v>28.650040000000001</v>
      </c>
      <c r="D13" s="30">
        <v>0.99129</v>
      </c>
      <c r="E13" s="29"/>
      <c r="F13" s="29"/>
      <c r="G13" s="9">
        <f t="shared" si="0"/>
        <v>2.7821189847382857</v>
      </c>
      <c r="H13" s="9">
        <f t="shared" si="1"/>
        <v>2.7821189847382857</v>
      </c>
    </row>
    <row r="14" spans="1:12" x14ac:dyDescent="0.25">
      <c r="A14" s="31">
        <v>100</v>
      </c>
      <c r="B14" s="34">
        <v>294.58067999999997</v>
      </c>
      <c r="C14" s="30">
        <v>27.370539999999998</v>
      </c>
      <c r="D14" s="30">
        <v>0.98312999999999995</v>
      </c>
      <c r="E14" s="29"/>
      <c r="F14" s="29"/>
      <c r="G14" s="9">
        <f t="shared" si="0"/>
        <v>3.0111675875210175</v>
      </c>
      <c r="H14" s="9">
        <f t="shared" si="1"/>
        <v>3.0111675875210175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169</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1.7261145220932856</v>
      </c>
      <c r="H9" s="9">
        <f t="shared" ref="H9:H14" si="1">B9/(C9+$D$5)^D9</f>
        <v>1.7261145220932856</v>
      </c>
      <c r="J9" s="29"/>
      <c r="K9" s="29"/>
      <c r="L9" s="30"/>
    </row>
    <row r="10" spans="1:12" x14ac:dyDescent="0.25">
      <c r="A10" s="31">
        <v>5</v>
      </c>
      <c r="B10" s="34">
        <v>253.41210000000001</v>
      </c>
      <c r="C10" s="30">
        <v>33.536160000000002</v>
      </c>
      <c r="D10" s="30">
        <v>1.0226599999999999</v>
      </c>
      <c r="E10" s="29"/>
      <c r="F10" s="29"/>
      <c r="G10" s="9">
        <f t="shared" si="0"/>
        <v>2.0331807724354474</v>
      </c>
      <c r="H10" s="9">
        <f t="shared" si="1"/>
        <v>2.0331807724354474</v>
      </c>
      <c r="J10" s="29"/>
      <c r="K10" s="29"/>
      <c r="L10" s="30"/>
    </row>
    <row r="11" spans="1:12" x14ac:dyDescent="0.25">
      <c r="A11" s="31">
        <v>10</v>
      </c>
      <c r="B11" s="34">
        <v>263.81267000000003</v>
      </c>
      <c r="C11" s="30">
        <v>31.956610000000001</v>
      </c>
      <c r="D11" s="30">
        <v>1.0126200000000001</v>
      </c>
      <c r="E11" s="29"/>
      <c r="F11" s="29"/>
      <c r="G11" s="35">
        <f t="shared" si="0"/>
        <v>2.2514629750056954</v>
      </c>
      <c r="H11" s="117">
        <f t="shared" si="1"/>
        <v>2.2514629750056954</v>
      </c>
      <c r="J11" s="29"/>
      <c r="K11" s="29"/>
      <c r="L11" s="30"/>
    </row>
    <row r="12" spans="1:12" x14ac:dyDescent="0.25">
      <c r="A12" s="31">
        <v>25</v>
      </c>
      <c r="B12" s="34">
        <v>277.26485000000002</v>
      </c>
      <c r="C12" s="30">
        <v>29.960899999999999</v>
      </c>
      <c r="D12" s="30">
        <v>0.99975000000000003</v>
      </c>
      <c r="E12" s="29"/>
      <c r="F12" s="29"/>
      <c r="G12" s="9">
        <f t="shared" si="0"/>
        <v>2.5602193570014391</v>
      </c>
      <c r="H12" s="9">
        <f t="shared" si="1"/>
        <v>2.5602193570014391</v>
      </c>
      <c r="J12" s="29"/>
      <c r="K12" s="29"/>
      <c r="L12" s="30"/>
    </row>
    <row r="13" spans="1:12" x14ac:dyDescent="0.25">
      <c r="A13" s="31">
        <v>50</v>
      </c>
      <c r="B13" s="34">
        <v>286.66127999999998</v>
      </c>
      <c r="C13" s="30">
        <v>28.568349999999999</v>
      </c>
      <c r="D13" s="30">
        <v>0.99075999999999997</v>
      </c>
      <c r="E13" s="29"/>
      <c r="F13" s="29"/>
      <c r="G13" s="9">
        <f t="shared" si="0"/>
        <v>2.7964645177094805</v>
      </c>
      <c r="H13" s="9">
        <f t="shared" si="1"/>
        <v>2.7964645177094805</v>
      </c>
    </row>
    <row r="14" spans="1:12" x14ac:dyDescent="0.25">
      <c r="A14" s="31">
        <v>100</v>
      </c>
      <c r="B14" s="34">
        <v>295.16735</v>
      </c>
      <c r="C14" s="30">
        <v>27.279720000000001</v>
      </c>
      <c r="D14" s="30">
        <v>0.98255999999999999</v>
      </c>
      <c r="E14" s="29"/>
      <c r="F14" s="29"/>
      <c r="G14" s="9">
        <f t="shared" si="0"/>
        <v>3.0277454547484592</v>
      </c>
      <c r="H14" s="9">
        <f t="shared" si="1"/>
        <v>3.0277454547484592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8" t="s">
        <v>116</v>
      </c>
      <c r="B4" s="208"/>
      <c r="C4" s="208"/>
      <c r="D4" s="208"/>
      <c r="E4" s="208"/>
      <c r="K4" t="s">
        <v>133</v>
      </c>
    </row>
    <row r="5" spans="1:11" x14ac:dyDescent="0.25">
      <c r="A5" s="208"/>
      <c r="B5" s="208"/>
      <c r="C5" s="208"/>
      <c r="D5" s="208"/>
      <c r="E5" s="208"/>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5" t="s">
        <v>172</v>
      </c>
      <c r="C2" s="205"/>
      <c r="D2" s="205"/>
      <c r="E2" s="205"/>
      <c r="F2" s="205"/>
      <c r="G2" s="205"/>
      <c r="H2" s="205"/>
      <c r="I2" s="205"/>
      <c r="J2" s="205"/>
    </row>
    <row r="3" spans="2:10" ht="13.8" thickBot="1" x14ac:dyDescent="0.3">
      <c r="B3" s="128" t="s">
        <v>170</v>
      </c>
      <c r="C3" s="129">
        <v>1</v>
      </c>
      <c r="D3" s="129">
        <v>2</v>
      </c>
      <c r="E3" s="129">
        <v>5</v>
      </c>
      <c r="F3" s="129">
        <v>10</v>
      </c>
      <c r="G3" s="129">
        <v>25</v>
      </c>
      <c r="H3" s="129">
        <v>50</v>
      </c>
      <c r="I3" s="129">
        <v>100</v>
      </c>
      <c r="J3" s="130" t="s">
        <v>171</v>
      </c>
    </row>
    <row r="4" spans="2:10" x14ac:dyDescent="0.25">
      <c r="B4" s="127" t="s">
        <v>143</v>
      </c>
      <c r="C4" s="131">
        <v>3.2</v>
      </c>
      <c r="D4" s="131">
        <v>3.5</v>
      </c>
      <c r="E4" s="131">
        <v>4.4000000000000004</v>
      </c>
      <c r="F4" s="131">
        <v>5.2</v>
      </c>
      <c r="G4" s="131">
        <v>6.5</v>
      </c>
      <c r="H4" s="131">
        <v>7.7</v>
      </c>
      <c r="I4" s="131">
        <v>9.1999999999999993</v>
      </c>
      <c r="J4" s="135">
        <v>250</v>
      </c>
    </row>
    <row r="5" spans="2:10" x14ac:dyDescent="0.25">
      <c r="B5" s="125" t="s">
        <v>144</v>
      </c>
      <c r="C5" s="132">
        <v>3.2</v>
      </c>
      <c r="D5" s="132">
        <v>3.7</v>
      </c>
      <c r="E5" s="132">
        <v>4.5999999999999996</v>
      </c>
      <c r="F5" s="132">
        <v>5.3</v>
      </c>
      <c r="G5" s="132">
        <v>6.5</v>
      </c>
      <c r="H5" s="132">
        <v>7.4</v>
      </c>
      <c r="I5" s="132">
        <v>8.4</v>
      </c>
      <c r="J5" s="136">
        <v>250</v>
      </c>
    </row>
    <row r="6" spans="2:10" x14ac:dyDescent="0.25">
      <c r="B6" s="124" t="s">
        <v>174</v>
      </c>
      <c r="C6" s="133">
        <v>3.4</v>
      </c>
      <c r="D6" s="133">
        <v>3.8</v>
      </c>
      <c r="E6" s="133">
        <v>5.0999999999999996</v>
      </c>
      <c r="F6" s="133">
        <v>6</v>
      </c>
      <c r="G6" s="133">
        <v>7</v>
      </c>
      <c r="H6" s="133">
        <v>7.8</v>
      </c>
      <c r="I6" s="133">
        <v>8.9</v>
      </c>
      <c r="J6" s="137">
        <v>300</v>
      </c>
    </row>
    <row r="7" spans="2:10" x14ac:dyDescent="0.25">
      <c r="B7" s="125" t="s">
        <v>145</v>
      </c>
      <c r="C7" s="132">
        <v>3.3</v>
      </c>
      <c r="D7" s="132">
        <v>3.6</v>
      </c>
      <c r="E7" s="132">
        <v>4.5</v>
      </c>
      <c r="F7" s="132">
        <v>5.5</v>
      </c>
      <c r="G7" s="132">
        <v>6.6</v>
      </c>
      <c r="H7" s="132">
        <v>7.9</v>
      </c>
      <c r="I7" s="132">
        <v>9.4</v>
      </c>
      <c r="J7" s="136">
        <v>275</v>
      </c>
    </row>
    <row r="8" spans="2:10" x14ac:dyDescent="0.25">
      <c r="B8" s="124" t="s">
        <v>175</v>
      </c>
      <c r="C8" s="133">
        <v>3.4</v>
      </c>
      <c r="D8" s="133">
        <v>3.6</v>
      </c>
      <c r="E8" s="133">
        <v>4.5999999999999996</v>
      </c>
      <c r="F8" s="133">
        <v>5.5</v>
      </c>
      <c r="G8" s="133">
        <v>6.8</v>
      </c>
      <c r="H8" s="133">
        <v>8.1</v>
      </c>
      <c r="I8" s="133">
        <v>9.4</v>
      </c>
      <c r="J8" s="137">
        <v>300</v>
      </c>
    </row>
    <row r="9" spans="2:10" x14ac:dyDescent="0.25">
      <c r="B9" s="125" t="s">
        <v>176</v>
      </c>
      <c r="C9" s="132">
        <v>3.3</v>
      </c>
      <c r="D9" s="132">
        <v>3.6</v>
      </c>
      <c r="E9" s="132">
        <v>4.5</v>
      </c>
      <c r="F9" s="132">
        <v>5.3</v>
      </c>
      <c r="G9" s="132">
        <v>6.4</v>
      </c>
      <c r="H9" s="132">
        <v>7.3</v>
      </c>
      <c r="I9" s="132">
        <v>8.4</v>
      </c>
      <c r="J9" s="136">
        <v>275</v>
      </c>
    </row>
    <row r="10" spans="2:10" x14ac:dyDescent="0.25">
      <c r="B10" s="124" t="s">
        <v>177</v>
      </c>
      <c r="C10" s="133">
        <v>3.7</v>
      </c>
      <c r="D10" s="133">
        <v>4.5</v>
      </c>
      <c r="E10" s="133">
        <v>5.8</v>
      </c>
      <c r="F10" s="133">
        <v>6.9</v>
      </c>
      <c r="G10" s="133">
        <v>8.4</v>
      </c>
      <c r="H10" s="133">
        <v>9.6999999999999993</v>
      </c>
      <c r="I10" s="133">
        <v>11</v>
      </c>
      <c r="J10" s="137">
        <v>400</v>
      </c>
    </row>
    <row r="11" spans="2:10" x14ac:dyDescent="0.25">
      <c r="B11" s="125" t="s">
        <v>178</v>
      </c>
      <c r="C11" s="132">
        <v>3.5</v>
      </c>
      <c r="D11" s="132">
        <v>3.8</v>
      </c>
      <c r="E11" s="132">
        <v>5</v>
      </c>
      <c r="F11" s="132">
        <v>5.9</v>
      </c>
      <c r="G11" s="132">
        <v>7.2</v>
      </c>
      <c r="H11" s="132">
        <v>8.1999999999999993</v>
      </c>
      <c r="I11" s="132">
        <v>9.4</v>
      </c>
      <c r="J11" s="136">
        <v>350</v>
      </c>
    </row>
    <row r="12" spans="2:10" x14ac:dyDescent="0.25">
      <c r="B12" s="124" t="s">
        <v>179</v>
      </c>
      <c r="C12" s="133">
        <v>3.6</v>
      </c>
      <c r="D12" s="133">
        <v>4</v>
      </c>
      <c r="E12" s="133">
        <v>5.2</v>
      </c>
      <c r="F12" s="133">
        <v>6.2</v>
      </c>
      <c r="G12" s="133">
        <v>7.5</v>
      </c>
      <c r="H12" s="133">
        <v>8.6</v>
      </c>
      <c r="I12" s="133">
        <v>9.8000000000000007</v>
      </c>
      <c r="J12" s="137">
        <v>350</v>
      </c>
    </row>
    <row r="13" spans="2:10" x14ac:dyDescent="0.25">
      <c r="B13" s="125" t="s">
        <v>180</v>
      </c>
      <c r="C13" s="132">
        <v>3.3</v>
      </c>
      <c r="D13" s="132">
        <v>3.5</v>
      </c>
      <c r="E13" s="132">
        <v>4.5</v>
      </c>
      <c r="F13" s="132">
        <v>5.4</v>
      </c>
      <c r="G13" s="132">
        <v>6.7</v>
      </c>
      <c r="H13" s="132">
        <v>7.9</v>
      </c>
      <c r="I13" s="132">
        <v>9.3000000000000007</v>
      </c>
      <c r="J13" s="136">
        <v>275</v>
      </c>
    </row>
    <row r="14" spans="2:10" x14ac:dyDescent="0.25">
      <c r="B14" s="124" t="s">
        <v>148</v>
      </c>
      <c r="C14" s="133">
        <v>3.8</v>
      </c>
      <c r="D14" s="133">
        <v>4.3</v>
      </c>
      <c r="E14" s="133">
        <v>5.5</v>
      </c>
      <c r="F14" s="133">
        <v>6.6</v>
      </c>
      <c r="G14" s="133">
        <v>8</v>
      </c>
      <c r="H14" s="133">
        <v>9.1999999999999993</v>
      </c>
      <c r="I14" s="133">
        <v>10.4</v>
      </c>
      <c r="J14" s="137">
        <v>400</v>
      </c>
    </row>
    <row r="15" spans="2:10" x14ac:dyDescent="0.25">
      <c r="B15" s="125" t="s">
        <v>181</v>
      </c>
      <c r="C15" s="132">
        <v>3</v>
      </c>
      <c r="D15" s="132">
        <v>3.7</v>
      </c>
      <c r="E15" s="132">
        <v>4.7</v>
      </c>
      <c r="F15" s="132">
        <v>5.4</v>
      </c>
      <c r="G15" s="132">
        <v>6.4</v>
      </c>
      <c r="H15" s="132">
        <v>7.3</v>
      </c>
      <c r="I15" s="132">
        <v>8.1</v>
      </c>
      <c r="J15" s="136">
        <v>275</v>
      </c>
    </row>
    <row r="16" spans="2:10" x14ac:dyDescent="0.25">
      <c r="B16" s="124" t="s">
        <v>182</v>
      </c>
      <c r="C16" s="133">
        <v>2.9</v>
      </c>
      <c r="D16" s="133">
        <v>3.6</v>
      </c>
      <c r="E16" s="133">
        <v>4.5999999999999996</v>
      </c>
      <c r="F16" s="133">
        <v>5.3</v>
      </c>
      <c r="G16" s="133">
        <v>6.3</v>
      </c>
      <c r="H16" s="133">
        <v>7.1</v>
      </c>
      <c r="I16" s="133">
        <v>8</v>
      </c>
      <c r="J16" s="137">
        <v>250</v>
      </c>
    </row>
    <row r="17" spans="2:10" x14ac:dyDescent="0.25">
      <c r="B17" s="125" t="s">
        <v>150</v>
      </c>
      <c r="C17" s="132">
        <v>3.1</v>
      </c>
      <c r="D17" s="132">
        <v>3.5</v>
      </c>
      <c r="E17" s="132">
        <v>4.5</v>
      </c>
      <c r="F17" s="132">
        <v>5.3</v>
      </c>
      <c r="G17" s="132">
        <v>6.6</v>
      </c>
      <c r="H17" s="132">
        <v>7.7</v>
      </c>
      <c r="I17" s="132">
        <v>9</v>
      </c>
      <c r="J17" s="136">
        <v>275</v>
      </c>
    </row>
    <row r="18" spans="2:10" x14ac:dyDescent="0.25">
      <c r="B18" s="124" t="s">
        <v>183</v>
      </c>
      <c r="C18" s="133">
        <v>3.4</v>
      </c>
      <c r="D18" s="133">
        <v>3.7</v>
      </c>
      <c r="E18" s="133">
        <v>4.7</v>
      </c>
      <c r="F18" s="133">
        <v>5.6</v>
      </c>
      <c r="G18" s="133">
        <v>7</v>
      </c>
      <c r="H18" s="133">
        <v>8.1999999999999993</v>
      </c>
      <c r="I18" s="133">
        <v>9.5</v>
      </c>
      <c r="J18" s="137">
        <v>300</v>
      </c>
    </row>
    <row r="19" spans="2:10" x14ac:dyDescent="0.25">
      <c r="B19" s="125" t="s">
        <v>184</v>
      </c>
      <c r="C19" s="132">
        <v>3.5</v>
      </c>
      <c r="D19" s="132">
        <v>3.5</v>
      </c>
      <c r="E19" s="132">
        <v>4.5</v>
      </c>
      <c r="F19" s="132">
        <v>5.4</v>
      </c>
      <c r="G19" s="132">
        <v>6.7</v>
      </c>
      <c r="H19" s="132">
        <v>7.9</v>
      </c>
      <c r="I19" s="132">
        <v>9.1999999999999993</v>
      </c>
      <c r="J19" s="136">
        <v>350</v>
      </c>
    </row>
    <row r="20" spans="2:10" x14ac:dyDescent="0.25">
      <c r="B20" s="124" t="s">
        <v>185</v>
      </c>
      <c r="C20" s="133">
        <v>3.6</v>
      </c>
      <c r="D20" s="133">
        <v>4</v>
      </c>
      <c r="E20" s="133">
        <v>5.2</v>
      </c>
      <c r="F20" s="133">
        <v>6.1</v>
      </c>
      <c r="G20" s="133">
        <v>7.5</v>
      </c>
      <c r="H20" s="133">
        <v>8.6</v>
      </c>
      <c r="I20" s="133">
        <v>9.6999999999999993</v>
      </c>
      <c r="J20" s="137">
        <v>350</v>
      </c>
    </row>
    <row r="21" spans="2:10" x14ac:dyDescent="0.25">
      <c r="B21" s="125" t="s">
        <v>186</v>
      </c>
      <c r="C21" s="132">
        <v>3.2</v>
      </c>
      <c r="D21" s="132">
        <v>3.5</v>
      </c>
      <c r="E21" s="132">
        <v>4.5</v>
      </c>
      <c r="F21" s="132">
        <v>5.4</v>
      </c>
      <c r="G21" s="132">
        <v>6.7</v>
      </c>
      <c r="H21" s="132">
        <v>8</v>
      </c>
      <c r="I21" s="132">
        <v>9.3000000000000007</v>
      </c>
      <c r="J21" s="136">
        <v>300</v>
      </c>
    </row>
    <row r="22" spans="2:10" x14ac:dyDescent="0.25">
      <c r="B22" s="124" t="s">
        <v>222</v>
      </c>
      <c r="C22" s="133">
        <v>3.3</v>
      </c>
      <c r="D22" s="133">
        <v>3.6</v>
      </c>
      <c r="E22" s="133">
        <v>4.7</v>
      </c>
      <c r="F22" s="133">
        <v>5.5</v>
      </c>
      <c r="G22" s="133">
        <v>6.8</v>
      </c>
      <c r="H22" s="133">
        <v>8.8000000000000007</v>
      </c>
      <c r="I22" s="133">
        <v>10</v>
      </c>
      <c r="J22" s="137">
        <v>325</v>
      </c>
    </row>
    <row r="23" spans="2:10" x14ac:dyDescent="0.25">
      <c r="B23" s="125" t="s">
        <v>221</v>
      </c>
      <c r="C23" s="132">
        <v>3.4</v>
      </c>
      <c r="D23" s="132">
        <v>3.8</v>
      </c>
      <c r="E23" s="132">
        <v>4.9000000000000004</v>
      </c>
      <c r="F23" s="132">
        <v>5.8</v>
      </c>
      <c r="G23" s="132">
        <v>7.1</v>
      </c>
      <c r="H23" s="132">
        <v>8.1</v>
      </c>
      <c r="I23" s="132">
        <v>9.3000000000000007</v>
      </c>
      <c r="J23" s="136">
        <v>325</v>
      </c>
    </row>
    <row r="24" spans="2:10" x14ac:dyDescent="0.25">
      <c r="B24" s="124" t="s">
        <v>220</v>
      </c>
      <c r="C24" s="133">
        <v>3.6</v>
      </c>
      <c r="D24" s="133">
        <v>4.2</v>
      </c>
      <c r="E24" s="133">
        <v>5.4</v>
      </c>
      <c r="F24" s="133">
        <v>6.4</v>
      </c>
      <c r="G24" s="133">
        <v>7.8</v>
      </c>
      <c r="H24" s="133">
        <v>8.9</v>
      </c>
      <c r="I24" s="133">
        <v>10.1</v>
      </c>
      <c r="J24" s="137">
        <v>325</v>
      </c>
    </row>
    <row r="25" spans="2:10" x14ac:dyDescent="0.25">
      <c r="B25" s="125" t="s">
        <v>219</v>
      </c>
      <c r="C25" s="132">
        <v>3.2</v>
      </c>
      <c r="D25" s="132">
        <v>3.1</v>
      </c>
      <c r="E25" s="132">
        <v>4.5</v>
      </c>
      <c r="F25" s="132">
        <v>5.2</v>
      </c>
      <c r="G25" s="132">
        <v>6.3</v>
      </c>
      <c r="H25" s="132">
        <v>7.2</v>
      </c>
      <c r="I25" s="132">
        <v>8.1999999999999993</v>
      </c>
      <c r="J25" s="136">
        <v>250</v>
      </c>
    </row>
    <row r="26" spans="2:10" x14ac:dyDescent="0.25">
      <c r="B26" s="124" t="s">
        <v>218</v>
      </c>
      <c r="C26" s="133">
        <v>3</v>
      </c>
      <c r="D26" s="133">
        <v>3.5</v>
      </c>
      <c r="E26" s="133">
        <v>4.4000000000000004</v>
      </c>
      <c r="F26" s="133">
        <v>5.0999999999999996</v>
      </c>
      <c r="G26" s="133">
        <v>6.2</v>
      </c>
      <c r="H26" s="133">
        <v>7.1</v>
      </c>
      <c r="I26" s="133">
        <v>8</v>
      </c>
      <c r="J26" s="137">
        <v>250</v>
      </c>
    </row>
    <row r="27" spans="2:10" x14ac:dyDescent="0.25">
      <c r="B27" s="125" t="s">
        <v>217</v>
      </c>
      <c r="C27" s="132">
        <v>3.3</v>
      </c>
      <c r="D27" s="132">
        <v>3.5</v>
      </c>
      <c r="E27" s="132">
        <v>4.5</v>
      </c>
      <c r="F27" s="132">
        <v>5.4</v>
      </c>
      <c r="G27" s="132">
        <v>6.7</v>
      </c>
      <c r="H27" s="132">
        <v>7.9</v>
      </c>
      <c r="I27" s="132">
        <v>9.1999999999999993</v>
      </c>
      <c r="J27" s="136">
        <v>325</v>
      </c>
    </row>
    <row r="28" spans="2:10" x14ac:dyDescent="0.25">
      <c r="B28" s="124" t="s">
        <v>216</v>
      </c>
      <c r="C28" s="133">
        <v>3.3</v>
      </c>
      <c r="D28" s="133">
        <v>3.7</v>
      </c>
      <c r="E28" s="133">
        <v>4.7</v>
      </c>
      <c r="F28" s="133">
        <v>5.6</v>
      </c>
      <c r="G28" s="133">
        <v>7</v>
      </c>
      <c r="H28" s="133">
        <v>8.1999999999999993</v>
      </c>
      <c r="I28" s="133">
        <v>9.6</v>
      </c>
      <c r="J28" s="137">
        <v>325</v>
      </c>
    </row>
    <row r="29" spans="2:10" x14ac:dyDescent="0.25">
      <c r="B29" s="125" t="s">
        <v>215</v>
      </c>
      <c r="C29" s="132">
        <v>3.6</v>
      </c>
      <c r="D29" s="132">
        <v>4.5999999999999996</v>
      </c>
      <c r="E29" s="132">
        <v>5.9</v>
      </c>
      <c r="F29" s="132">
        <v>7</v>
      </c>
      <c r="G29" s="132">
        <v>8.5</v>
      </c>
      <c r="H29" s="132">
        <v>9.8000000000000007</v>
      </c>
      <c r="I29" s="132">
        <v>11.1</v>
      </c>
      <c r="J29" s="136">
        <v>350</v>
      </c>
    </row>
    <row r="30" spans="2:10" x14ac:dyDescent="0.25">
      <c r="B30" s="124" t="s">
        <v>214</v>
      </c>
      <c r="C30" s="133">
        <v>3.6</v>
      </c>
      <c r="D30" s="133">
        <v>3.9</v>
      </c>
      <c r="E30" s="133">
        <v>5.0999999999999996</v>
      </c>
      <c r="F30" s="133">
        <v>6</v>
      </c>
      <c r="G30" s="133">
        <v>7.4</v>
      </c>
      <c r="H30" s="133">
        <v>8.4</v>
      </c>
      <c r="I30" s="133">
        <v>9.6</v>
      </c>
      <c r="J30" s="137">
        <v>350</v>
      </c>
    </row>
    <row r="31" spans="2:10" x14ac:dyDescent="0.25">
      <c r="B31" s="125" t="s">
        <v>213</v>
      </c>
      <c r="C31" s="132">
        <v>4</v>
      </c>
      <c r="D31" s="132">
        <v>4.2</v>
      </c>
      <c r="E31" s="132">
        <v>5.3</v>
      </c>
      <c r="F31" s="132">
        <v>6.1</v>
      </c>
      <c r="G31" s="132">
        <v>7.3</v>
      </c>
      <c r="H31" s="132">
        <v>8.3000000000000007</v>
      </c>
      <c r="I31" s="132">
        <v>9.3000000000000007</v>
      </c>
      <c r="J31" s="136">
        <v>300</v>
      </c>
    </row>
    <row r="32" spans="2:10" x14ac:dyDescent="0.25">
      <c r="B32" s="124" t="s">
        <v>212</v>
      </c>
      <c r="C32" s="133">
        <v>3.4</v>
      </c>
      <c r="D32" s="133">
        <v>3.7</v>
      </c>
      <c r="E32" s="133">
        <v>4.5999999999999996</v>
      </c>
      <c r="F32" s="133">
        <v>5.4</v>
      </c>
      <c r="G32" s="133">
        <v>6.7</v>
      </c>
      <c r="H32" s="133">
        <v>7.8</v>
      </c>
      <c r="I32" s="133">
        <v>9.1</v>
      </c>
      <c r="J32" s="137">
        <v>300</v>
      </c>
    </row>
    <row r="33" spans="2:10" x14ac:dyDescent="0.25">
      <c r="B33" s="125" t="s">
        <v>156</v>
      </c>
      <c r="C33" s="132">
        <v>3.1</v>
      </c>
      <c r="D33" s="132">
        <v>3.5</v>
      </c>
      <c r="E33" s="132">
        <v>4.4000000000000004</v>
      </c>
      <c r="F33" s="132">
        <v>5.0999999999999996</v>
      </c>
      <c r="G33" s="132">
        <v>6.4</v>
      </c>
      <c r="H33" s="132">
        <v>7.6</v>
      </c>
      <c r="I33" s="132">
        <v>9</v>
      </c>
      <c r="J33" s="136">
        <v>250</v>
      </c>
    </row>
    <row r="34" spans="2:10" x14ac:dyDescent="0.25">
      <c r="B34" s="124" t="s">
        <v>211</v>
      </c>
      <c r="C34" s="133">
        <v>3.4</v>
      </c>
      <c r="D34" s="133">
        <v>3.8</v>
      </c>
      <c r="E34" s="133">
        <v>4.9000000000000004</v>
      </c>
      <c r="F34" s="133">
        <v>5.8</v>
      </c>
      <c r="G34" s="133">
        <v>7.1</v>
      </c>
      <c r="H34" s="133">
        <v>8.1999999999999993</v>
      </c>
      <c r="I34" s="133">
        <v>9.3000000000000007</v>
      </c>
      <c r="J34" s="137">
        <v>325</v>
      </c>
    </row>
    <row r="35" spans="2:10" x14ac:dyDescent="0.25">
      <c r="B35" s="125" t="s">
        <v>210</v>
      </c>
      <c r="C35" s="132">
        <v>3.4</v>
      </c>
      <c r="D35" s="132">
        <v>4.2</v>
      </c>
      <c r="E35" s="132">
        <v>5.4</v>
      </c>
      <c r="F35" s="132">
        <v>6.4</v>
      </c>
      <c r="G35" s="132">
        <v>7.8</v>
      </c>
      <c r="H35" s="132">
        <v>9</v>
      </c>
      <c r="I35" s="132">
        <v>10.199999999999999</v>
      </c>
      <c r="J35" s="136">
        <v>325</v>
      </c>
    </row>
    <row r="36" spans="2:10" x14ac:dyDescent="0.25">
      <c r="B36" s="124" t="s">
        <v>209</v>
      </c>
      <c r="C36" s="133">
        <v>3.4</v>
      </c>
      <c r="D36" s="133">
        <v>4.0999999999999996</v>
      </c>
      <c r="E36" s="133">
        <v>5.3</v>
      </c>
      <c r="F36" s="133">
        <v>6.3</v>
      </c>
      <c r="G36" s="133">
        <v>7.9</v>
      </c>
      <c r="H36" s="133">
        <v>9.3000000000000007</v>
      </c>
      <c r="I36" s="133">
        <v>10.8</v>
      </c>
      <c r="J36" s="137">
        <v>350</v>
      </c>
    </row>
    <row r="37" spans="2:10" x14ac:dyDescent="0.25">
      <c r="B37" s="125" t="s">
        <v>208</v>
      </c>
      <c r="C37" s="132">
        <v>3.6</v>
      </c>
      <c r="D37" s="132">
        <v>4.2</v>
      </c>
      <c r="E37" s="132">
        <v>5.4</v>
      </c>
      <c r="F37" s="132">
        <v>6.4</v>
      </c>
      <c r="G37" s="132">
        <v>7.8</v>
      </c>
      <c r="H37" s="132">
        <v>9</v>
      </c>
      <c r="I37" s="132">
        <v>10.199999999999999</v>
      </c>
      <c r="J37" s="136">
        <v>350</v>
      </c>
    </row>
    <row r="38" spans="2:10" x14ac:dyDescent="0.25">
      <c r="B38" s="124" t="s">
        <v>207</v>
      </c>
      <c r="C38" s="133">
        <v>3.5</v>
      </c>
      <c r="D38" s="133">
        <v>4.2</v>
      </c>
      <c r="E38" s="133">
        <v>5.4</v>
      </c>
      <c r="F38" s="133">
        <v>6.4</v>
      </c>
      <c r="G38" s="133">
        <v>7.8</v>
      </c>
      <c r="H38" s="133">
        <v>9</v>
      </c>
      <c r="I38" s="133">
        <v>10.199999999999999</v>
      </c>
      <c r="J38" s="137">
        <v>350</v>
      </c>
    </row>
    <row r="39" spans="2:10" x14ac:dyDescent="0.25">
      <c r="B39" s="125" t="s">
        <v>206</v>
      </c>
      <c r="C39" s="132">
        <v>3.1</v>
      </c>
      <c r="D39" s="132">
        <v>3.5</v>
      </c>
      <c r="E39" s="132">
        <v>4.4000000000000004</v>
      </c>
      <c r="F39" s="132">
        <v>5.0999999999999996</v>
      </c>
      <c r="G39" s="132">
        <v>6.2</v>
      </c>
      <c r="H39" s="132">
        <v>7.1</v>
      </c>
      <c r="I39" s="132">
        <v>8.1</v>
      </c>
      <c r="J39" s="136">
        <v>275</v>
      </c>
    </row>
    <row r="40" spans="2:10" x14ac:dyDescent="0.25">
      <c r="B40" s="124" t="s">
        <v>205</v>
      </c>
      <c r="C40" s="133">
        <v>3</v>
      </c>
      <c r="D40" s="133">
        <v>3.5</v>
      </c>
      <c r="E40" s="133">
        <v>4.4000000000000004</v>
      </c>
      <c r="F40" s="133">
        <v>5.2</v>
      </c>
      <c r="G40" s="133">
        <v>6.2</v>
      </c>
      <c r="H40" s="133">
        <v>7</v>
      </c>
      <c r="I40" s="133">
        <v>7.9</v>
      </c>
      <c r="J40" s="137">
        <v>250</v>
      </c>
    </row>
    <row r="41" spans="2:10" x14ac:dyDescent="0.25">
      <c r="B41" s="125" t="s">
        <v>158</v>
      </c>
      <c r="C41" s="132">
        <v>3.1</v>
      </c>
      <c r="D41" s="132">
        <v>3.6</v>
      </c>
      <c r="E41" s="132">
        <v>4.4000000000000004</v>
      </c>
      <c r="F41" s="132">
        <v>5.2</v>
      </c>
      <c r="G41" s="132">
        <v>6.5</v>
      </c>
      <c r="H41" s="132">
        <v>7.7</v>
      </c>
      <c r="I41" s="132">
        <v>9.1999999999999993</v>
      </c>
      <c r="J41" s="136">
        <v>250</v>
      </c>
    </row>
    <row r="42" spans="2:10" x14ac:dyDescent="0.25">
      <c r="B42" s="124" t="s">
        <v>204</v>
      </c>
      <c r="C42" s="133">
        <v>3.2</v>
      </c>
      <c r="D42" s="133">
        <v>3.5</v>
      </c>
      <c r="E42" s="133">
        <v>4.5</v>
      </c>
      <c r="F42" s="133">
        <v>5.4</v>
      </c>
      <c r="G42" s="133">
        <v>6.7</v>
      </c>
      <c r="H42" s="133">
        <v>7.9</v>
      </c>
      <c r="I42" s="133">
        <v>9.3000000000000007</v>
      </c>
      <c r="J42" s="137">
        <v>275</v>
      </c>
    </row>
    <row r="43" spans="2:10" x14ac:dyDescent="0.25">
      <c r="B43" s="125" t="s">
        <v>159</v>
      </c>
      <c r="C43" s="132">
        <v>3.1</v>
      </c>
      <c r="D43" s="132">
        <v>3.6</v>
      </c>
      <c r="E43" s="132">
        <v>4.5</v>
      </c>
      <c r="F43" s="132">
        <v>5.3</v>
      </c>
      <c r="G43" s="132">
        <v>6.4</v>
      </c>
      <c r="H43" s="132">
        <v>7.3</v>
      </c>
      <c r="I43" s="132">
        <v>8.3000000000000007</v>
      </c>
      <c r="J43" s="136">
        <v>250</v>
      </c>
    </row>
    <row r="44" spans="2:10" x14ac:dyDescent="0.25">
      <c r="B44" s="124" t="s">
        <v>203</v>
      </c>
      <c r="C44" s="133">
        <v>3.3</v>
      </c>
      <c r="D44" s="133">
        <v>3.7</v>
      </c>
      <c r="E44" s="133">
        <v>4.8</v>
      </c>
      <c r="F44" s="133">
        <v>5.7</v>
      </c>
      <c r="G44" s="133">
        <v>6.9</v>
      </c>
      <c r="H44" s="133">
        <v>8</v>
      </c>
      <c r="I44" s="133">
        <v>9.1</v>
      </c>
      <c r="J44" s="137">
        <v>325</v>
      </c>
    </row>
    <row r="45" spans="2:10" x14ac:dyDescent="0.25">
      <c r="B45" s="125" t="s">
        <v>202</v>
      </c>
      <c r="C45" s="132">
        <v>3.4</v>
      </c>
      <c r="D45" s="132">
        <v>4.2</v>
      </c>
      <c r="E45" s="132">
        <v>5.5</v>
      </c>
      <c r="F45" s="132">
        <v>6.5</v>
      </c>
      <c r="G45" s="132">
        <v>7.9</v>
      </c>
      <c r="H45" s="132">
        <v>9.1</v>
      </c>
      <c r="I45" s="132">
        <v>10.3</v>
      </c>
      <c r="J45" s="136">
        <v>325</v>
      </c>
    </row>
    <row r="46" spans="2:10" x14ac:dyDescent="0.25">
      <c r="B46" s="124" t="s">
        <v>201</v>
      </c>
      <c r="C46" s="133">
        <v>3.2</v>
      </c>
      <c r="D46" s="133">
        <v>3.5</v>
      </c>
      <c r="E46" s="133">
        <v>4.5</v>
      </c>
      <c r="F46" s="133">
        <v>5.4</v>
      </c>
      <c r="G46" s="133">
        <v>6.5</v>
      </c>
      <c r="H46" s="133">
        <v>7.5</v>
      </c>
      <c r="I46" s="133">
        <v>8.5</v>
      </c>
      <c r="J46" s="137">
        <v>300</v>
      </c>
    </row>
    <row r="47" spans="2:10" x14ac:dyDescent="0.25">
      <c r="B47" s="125" t="s">
        <v>160</v>
      </c>
      <c r="C47" s="132">
        <v>3.2</v>
      </c>
      <c r="D47" s="132">
        <v>3.5</v>
      </c>
      <c r="E47" s="132">
        <v>4.4000000000000004</v>
      </c>
      <c r="F47" s="132">
        <v>5.2</v>
      </c>
      <c r="G47" s="132">
        <v>6.4</v>
      </c>
      <c r="H47" s="132">
        <v>7.5</v>
      </c>
      <c r="I47" s="132">
        <v>8.9</v>
      </c>
      <c r="J47" s="136">
        <v>250</v>
      </c>
    </row>
    <row r="48" spans="2:10" x14ac:dyDescent="0.25">
      <c r="B48" s="124" t="s">
        <v>162</v>
      </c>
      <c r="C48" s="133">
        <v>3</v>
      </c>
      <c r="D48" s="133">
        <v>3.6</v>
      </c>
      <c r="E48" s="133">
        <v>4.5</v>
      </c>
      <c r="F48" s="133">
        <v>5.3</v>
      </c>
      <c r="G48" s="133">
        <v>6.4</v>
      </c>
      <c r="H48" s="133">
        <v>7.3</v>
      </c>
      <c r="I48" s="133">
        <v>8.4</v>
      </c>
      <c r="J48" s="137">
        <v>250</v>
      </c>
    </row>
    <row r="49" spans="2:10" x14ac:dyDescent="0.25">
      <c r="B49" s="125" t="s">
        <v>200</v>
      </c>
      <c r="C49" s="132">
        <v>4.5</v>
      </c>
      <c r="D49" s="132">
        <v>4.7</v>
      </c>
      <c r="E49" s="132">
        <v>5.8</v>
      </c>
      <c r="F49" s="132">
        <v>6.7</v>
      </c>
      <c r="G49" s="132">
        <v>7.8</v>
      </c>
      <c r="H49" s="132">
        <v>8.8000000000000007</v>
      </c>
      <c r="I49" s="132">
        <v>9.8000000000000007</v>
      </c>
      <c r="J49" s="136">
        <v>300</v>
      </c>
    </row>
    <row r="50" spans="2:10" x14ac:dyDescent="0.25">
      <c r="B50" s="124" t="s">
        <v>199</v>
      </c>
      <c r="C50" s="133">
        <v>3.5</v>
      </c>
      <c r="D50" s="133">
        <v>3.8</v>
      </c>
      <c r="E50" s="133">
        <v>4.7</v>
      </c>
      <c r="F50" s="133">
        <v>5.5</v>
      </c>
      <c r="G50" s="133">
        <v>6.6</v>
      </c>
      <c r="H50" s="133">
        <v>7.6</v>
      </c>
      <c r="I50" s="133">
        <v>8.6</v>
      </c>
      <c r="J50" s="137">
        <v>300</v>
      </c>
    </row>
    <row r="51" spans="2:10" x14ac:dyDescent="0.25">
      <c r="B51" s="125" t="s">
        <v>198</v>
      </c>
      <c r="C51" s="132">
        <v>3.3</v>
      </c>
      <c r="D51" s="132">
        <v>3.8</v>
      </c>
      <c r="E51" s="132">
        <v>4.9000000000000004</v>
      </c>
      <c r="F51" s="132">
        <v>5.8</v>
      </c>
      <c r="G51" s="132">
        <v>7.1</v>
      </c>
      <c r="H51" s="132">
        <v>8.1</v>
      </c>
      <c r="I51" s="132">
        <v>9.3000000000000007</v>
      </c>
      <c r="J51" s="136">
        <v>275</v>
      </c>
    </row>
    <row r="52" spans="2:10" x14ac:dyDescent="0.25">
      <c r="B52" s="124" t="s">
        <v>197</v>
      </c>
      <c r="C52" s="133">
        <v>3.3</v>
      </c>
      <c r="D52" s="133">
        <v>3.6</v>
      </c>
      <c r="E52" s="133">
        <v>4.5</v>
      </c>
      <c r="F52" s="133">
        <v>5.4</v>
      </c>
      <c r="G52" s="133">
        <v>6.8</v>
      </c>
      <c r="H52" s="133">
        <v>8</v>
      </c>
      <c r="I52" s="133">
        <v>9.3000000000000007</v>
      </c>
      <c r="J52" s="137">
        <v>275</v>
      </c>
    </row>
    <row r="53" spans="2:10" x14ac:dyDescent="0.25">
      <c r="B53" s="125" t="s">
        <v>196</v>
      </c>
      <c r="C53" s="132">
        <v>4.2</v>
      </c>
      <c r="D53" s="132">
        <v>5.0999999999999996</v>
      </c>
      <c r="E53" s="132">
        <v>6.2</v>
      </c>
      <c r="F53" s="132">
        <v>7.2</v>
      </c>
      <c r="G53" s="132">
        <v>8.5</v>
      </c>
      <c r="H53" s="132">
        <v>9.5</v>
      </c>
      <c r="I53" s="132">
        <v>10.6</v>
      </c>
      <c r="J53" s="136">
        <v>300</v>
      </c>
    </row>
    <row r="54" spans="2:10" x14ac:dyDescent="0.25">
      <c r="B54" s="124" t="s">
        <v>195</v>
      </c>
      <c r="C54" s="133">
        <v>3.7</v>
      </c>
      <c r="D54" s="133">
        <v>4.0999999999999996</v>
      </c>
      <c r="E54" s="133">
        <v>5</v>
      </c>
      <c r="F54" s="133">
        <v>5.8</v>
      </c>
      <c r="G54" s="133">
        <v>6.9</v>
      </c>
      <c r="H54" s="133">
        <v>7.8</v>
      </c>
      <c r="I54" s="133">
        <v>8.8000000000000007</v>
      </c>
      <c r="J54" s="137">
        <v>300</v>
      </c>
    </row>
    <row r="55" spans="2:10" x14ac:dyDescent="0.25">
      <c r="B55" s="125" t="s">
        <v>194</v>
      </c>
      <c r="C55" s="132">
        <v>3.1</v>
      </c>
      <c r="D55" s="132">
        <v>3.6</v>
      </c>
      <c r="E55" s="132">
        <v>4.5</v>
      </c>
      <c r="F55" s="132">
        <v>5.3</v>
      </c>
      <c r="G55" s="132">
        <v>6.4</v>
      </c>
      <c r="H55" s="132">
        <v>7.3</v>
      </c>
      <c r="I55" s="132">
        <v>8.3000000000000007</v>
      </c>
      <c r="J55" s="136">
        <v>275</v>
      </c>
    </row>
    <row r="56" spans="2:10" x14ac:dyDescent="0.25">
      <c r="B56" s="124" t="s">
        <v>193</v>
      </c>
      <c r="C56" s="133">
        <v>3.4</v>
      </c>
      <c r="D56" s="133">
        <v>3.6</v>
      </c>
      <c r="E56" s="133">
        <v>4.5</v>
      </c>
      <c r="F56" s="133">
        <v>5.2</v>
      </c>
      <c r="G56" s="133">
        <v>6.3</v>
      </c>
      <c r="H56" s="133">
        <v>7.2</v>
      </c>
      <c r="I56" s="133">
        <v>8.1999999999999993</v>
      </c>
      <c r="J56" s="137">
        <v>250</v>
      </c>
    </row>
    <row r="57" spans="2:10" x14ac:dyDescent="0.25">
      <c r="B57" s="125" t="s">
        <v>192</v>
      </c>
      <c r="C57" s="132">
        <v>3.4</v>
      </c>
      <c r="D57" s="132">
        <v>4.5</v>
      </c>
      <c r="E57" s="132">
        <v>5.5</v>
      </c>
      <c r="F57" s="132">
        <v>6.3</v>
      </c>
      <c r="G57" s="132">
        <v>7.5</v>
      </c>
      <c r="H57" s="132">
        <v>8.5</v>
      </c>
      <c r="I57" s="132">
        <v>9.5</v>
      </c>
      <c r="J57" s="136">
        <v>300</v>
      </c>
    </row>
    <row r="58" spans="2:10" x14ac:dyDescent="0.25">
      <c r="B58" s="124" t="s">
        <v>191</v>
      </c>
      <c r="C58" s="133">
        <v>3.1</v>
      </c>
      <c r="D58" s="133">
        <v>3.8</v>
      </c>
      <c r="E58" s="133">
        <v>4.8</v>
      </c>
      <c r="F58" s="133">
        <v>5.5</v>
      </c>
      <c r="G58" s="133">
        <v>6.6</v>
      </c>
      <c r="H58" s="133">
        <v>7.4</v>
      </c>
      <c r="I58" s="133">
        <v>8.3000000000000007</v>
      </c>
      <c r="J58" s="137">
        <v>275</v>
      </c>
    </row>
    <row r="59" spans="2:10" x14ac:dyDescent="0.25">
      <c r="B59" s="125" t="s">
        <v>190</v>
      </c>
      <c r="C59" s="132">
        <v>3.1</v>
      </c>
      <c r="D59" s="132">
        <v>3.6</v>
      </c>
      <c r="E59" s="132">
        <v>4.5</v>
      </c>
      <c r="F59" s="132">
        <v>5.5</v>
      </c>
      <c r="G59" s="132">
        <v>6.4</v>
      </c>
      <c r="H59" s="132">
        <v>7.8</v>
      </c>
      <c r="I59" s="132">
        <v>9.3000000000000007</v>
      </c>
      <c r="J59" s="136">
        <v>275</v>
      </c>
    </row>
    <row r="60" spans="2:10" x14ac:dyDescent="0.25">
      <c r="B60" s="124" t="s">
        <v>189</v>
      </c>
      <c r="C60" s="133">
        <v>3.1</v>
      </c>
      <c r="D60" s="133">
        <v>3.7</v>
      </c>
      <c r="E60" s="133">
        <v>4.5999999999999996</v>
      </c>
      <c r="F60" s="133">
        <v>5.4</v>
      </c>
      <c r="G60" s="133">
        <v>6.7</v>
      </c>
      <c r="H60" s="133">
        <v>7.9</v>
      </c>
      <c r="I60" s="133">
        <v>9.4</v>
      </c>
      <c r="J60" s="137">
        <v>275</v>
      </c>
    </row>
    <row r="61" spans="2:10" x14ac:dyDescent="0.25">
      <c r="B61" s="125" t="s">
        <v>167</v>
      </c>
      <c r="C61" s="132">
        <v>3.2</v>
      </c>
      <c r="D61" s="132">
        <v>3.6</v>
      </c>
      <c r="E61" s="132">
        <v>4.5999999999999996</v>
      </c>
      <c r="F61" s="132">
        <v>5.5</v>
      </c>
      <c r="G61" s="132">
        <v>6.9</v>
      </c>
      <c r="H61" s="132">
        <v>8.1</v>
      </c>
      <c r="I61" s="132">
        <v>9.5</v>
      </c>
      <c r="J61" s="136">
        <v>275</v>
      </c>
    </row>
    <row r="62" spans="2:10" x14ac:dyDescent="0.25">
      <c r="B62" s="124" t="s">
        <v>168</v>
      </c>
      <c r="C62" s="133">
        <v>3</v>
      </c>
      <c r="D62" s="133">
        <v>3.6</v>
      </c>
      <c r="E62" s="133">
        <v>4.5</v>
      </c>
      <c r="F62" s="133">
        <v>5.2</v>
      </c>
      <c r="G62" s="133">
        <v>6.5</v>
      </c>
      <c r="H62" s="133">
        <v>7.7</v>
      </c>
      <c r="I62" s="133">
        <v>9.1</v>
      </c>
      <c r="J62" s="137">
        <v>250</v>
      </c>
    </row>
    <row r="63" spans="2:10" x14ac:dyDescent="0.25">
      <c r="B63" s="125" t="s">
        <v>188</v>
      </c>
      <c r="C63" s="132">
        <v>3.4</v>
      </c>
      <c r="D63" s="132">
        <v>4.0999999999999996</v>
      </c>
      <c r="E63" s="132">
        <v>5.3</v>
      </c>
      <c r="F63" s="132">
        <v>6.2</v>
      </c>
      <c r="G63" s="132">
        <v>7.6</v>
      </c>
      <c r="H63" s="132">
        <v>8.6999999999999993</v>
      </c>
      <c r="I63" s="132">
        <v>9.9</v>
      </c>
      <c r="J63" s="136">
        <v>325</v>
      </c>
    </row>
    <row r="64" spans="2:10" ht="13.8" thickBot="1" x14ac:dyDescent="0.3">
      <c r="B64" s="126" t="s">
        <v>187</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8" t="s">
        <v>227</v>
      </c>
      <c r="D3" s="208"/>
      <c r="E3" s="208"/>
      <c r="F3" s="208"/>
    </row>
    <row r="4" spans="1:6" x14ac:dyDescent="0.25">
      <c r="C4" s="37" t="s">
        <v>223</v>
      </c>
      <c r="D4" s="37" t="s">
        <v>224</v>
      </c>
      <c r="E4" s="37" t="s">
        <v>225</v>
      </c>
      <c r="F4" s="37" t="s">
        <v>226</v>
      </c>
    </row>
    <row r="5" spans="1:6" x14ac:dyDescent="0.25">
      <c r="A5" s="143"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3"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3" t="s">
        <v>238</v>
      </c>
    </row>
    <row r="15" spans="1:6" x14ac:dyDescent="0.25">
      <c r="A15" t="s">
        <v>239</v>
      </c>
      <c r="B15" t="s">
        <v>264</v>
      </c>
      <c r="C15" s="37">
        <v>63</v>
      </c>
      <c r="D15" s="37">
        <v>77</v>
      </c>
      <c r="E15" s="37">
        <v>85</v>
      </c>
      <c r="F15" s="37">
        <v>88</v>
      </c>
    </row>
    <row r="16" spans="1:6" ht="12.75" customHeight="1" x14ac:dyDescent="0.25">
      <c r="A16" t="s">
        <v>240</v>
      </c>
      <c r="B16" s="142" t="s">
        <v>265</v>
      </c>
      <c r="C16" s="37">
        <v>96</v>
      </c>
      <c r="D16" s="37">
        <v>96</v>
      </c>
      <c r="E16" s="37">
        <v>96</v>
      </c>
      <c r="F16" s="37">
        <v>96</v>
      </c>
    </row>
    <row r="17" spans="1:6" x14ac:dyDescent="0.25">
      <c r="A17" s="143"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3"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3" t="s">
        <v>259</v>
      </c>
    </row>
    <row r="28" spans="1:6" x14ac:dyDescent="0.25">
      <c r="A28" t="s">
        <v>260</v>
      </c>
      <c r="B28" t="s">
        <v>261</v>
      </c>
      <c r="C28" s="37">
        <v>77</v>
      </c>
      <c r="D28" s="37">
        <v>86</v>
      </c>
      <c r="E28" s="37">
        <v>91</v>
      </c>
      <c r="F28" s="37">
        <v>94</v>
      </c>
    </row>
    <row r="29" spans="1:6" x14ac:dyDescent="0.25">
      <c r="A29" s="143"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3"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3"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9" t="s">
        <v>401</v>
      </c>
      <c r="D3" s="209"/>
      <c r="E3" s="209"/>
      <c r="F3" s="209"/>
      <c r="G3" s="144"/>
      <c r="H3" s="144"/>
      <c r="I3" s="144"/>
      <c r="J3" s="144"/>
      <c r="K3" s="144"/>
      <c r="L3" s="144"/>
    </row>
    <row r="4" spans="3:12" x14ac:dyDescent="0.25">
      <c r="C4" s="210" t="s">
        <v>368</v>
      </c>
      <c r="D4" s="211"/>
      <c r="E4" s="211"/>
      <c r="F4" s="212"/>
      <c r="G4" s="118"/>
      <c r="H4" s="118"/>
      <c r="I4" s="118"/>
      <c r="J4" s="118"/>
      <c r="K4" s="118"/>
      <c r="L4" s="118"/>
    </row>
    <row r="5" spans="3:12" x14ac:dyDescent="0.25">
      <c r="C5" s="213" t="s">
        <v>6</v>
      </c>
      <c r="D5" s="147" t="s">
        <v>369</v>
      </c>
      <c r="E5" s="147" t="s">
        <v>370</v>
      </c>
      <c r="F5" s="151" t="s">
        <v>371</v>
      </c>
    </row>
    <row r="6" spans="3:12" x14ac:dyDescent="0.25">
      <c r="C6" s="213"/>
      <c r="D6" s="147" t="s">
        <v>403</v>
      </c>
      <c r="E6" s="147" t="s">
        <v>404</v>
      </c>
      <c r="F6" s="151" t="s">
        <v>405</v>
      </c>
    </row>
    <row r="7" spans="3:12" ht="6.75" customHeight="1" x14ac:dyDescent="0.25">
      <c r="C7" s="152"/>
      <c r="D7" s="148"/>
      <c r="E7" s="148"/>
      <c r="F7" s="153"/>
    </row>
    <row r="8" spans="3:12" x14ac:dyDescent="0.25">
      <c r="C8" s="125" t="s">
        <v>372</v>
      </c>
      <c r="D8" s="149">
        <v>0.9</v>
      </c>
      <c r="E8" s="149">
        <v>0.9</v>
      </c>
      <c r="F8" s="154">
        <v>0.9</v>
      </c>
      <c r="I8" s="3" t="s">
        <v>406</v>
      </c>
    </row>
    <row r="9" spans="3:12" x14ac:dyDescent="0.25">
      <c r="C9" s="125" t="s">
        <v>373</v>
      </c>
      <c r="D9" s="149">
        <v>0.5</v>
      </c>
      <c r="E9" s="149">
        <v>0.5</v>
      </c>
      <c r="F9" s="154">
        <v>0.5</v>
      </c>
      <c r="I9" s="3" t="s">
        <v>407</v>
      </c>
    </row>
    <row r="10" spans="3:12" x14ac:dyDescent="0.25">
      <c r="C10" s="125" t="s">
        <v>374</v>
      </c>
      <c r="D10" s="149">
        <v>0.75</v>
      </c>
      <c r="E10" s="149">
        <v>0.8</v>
      </c>
      <c r="F10" s="154">
        <v>0.85</v>
      </c>
      <c r="I10" s="3" t="s">
        <v>408</v>
      </c>
    </row>
    <row r="11" spans="3:12" x14ac:dyDescent="0.25">
      <c r="C11" s="125" t="s">
        <v>375</v>
      </c>
      <c r="D11" s="149">
        <v>0.5</v>
      </c>
      <c r="E11" s="149">
        <v>0.55000000000000004</v>
      </c>
      <c r="F11" s="154">
        <v>0.6</v>
      </c>
    </row>
    <row r="12" spans="3:12" x14ac:dyDescent="0.25">
      <c r="C12" s="125" t="s">
        <v>376</v>
      </c>
      <c r="D12" s="149">
        <v>0.8</v>
      </c>
      <c r="E12" s="149">
        <v>0.85</v>
      </c>
      <c r="F12" s="154">
        <v>0.85</v>
      </c>
    </row>
    <row r="13" spans="3:12" x14ac:dyDescent="0.25">
      <c r="C13" s="125" t="s">
        <v>377</v>
      </c>
      <c r="D13" s="149">
        <v>0.34</v>
      </c>
      <c r="E13" s="149">
        <v>0.45</v>
      </c>
      <c r="F13" s="154">
        <v>0.59</v>
      </c>
    </row>
    <row r="14" spans="3:12" x14ac:dyDescent="0.25">
      <c r="C14" s="125" t="s">
        <v>378</v>
      </c>
      <c r="D14" s="149">
        <v>0.35</v>
      </c>
      <c r="E14" s="149">
        <v>0.47</v>
      </c>
      <c r="F14" s="154">
        <v>0.61</v>
      </c>
    </row>
    <row r="15" spans="3:12" x14ac:dyDescent="0.25">
      <c r="C15" s="125" t="s">
        <v>379</v>
      </c>
      <c r="D15" s="149">
        <v>0.4</v>
      </c>
      <c r="E15" s="149">
        <v>0.53</v>
      </c>
      <c r="F15" s="154">
        <v>0.69</v>
      </c>
    </row>
    <row r="16" spans="3:12" ht="6.75" customHeight="1" x14ac:dyDescent="0.25">
      <c r="C16" s="155"/>
      <c r="D16" s="150"/>
      <c r="E16" s="150"/>
      <c r="F16" s="156"/>
    </row>
    <row r="17" spans="3:6" x14ac:dyDescent="0.25">
      <c r="C17" s="125" t="s">
        <v>380</v>
      </c>
      <c r="D17" s="149">
        <v>0.5</v>
      </c>
      <c r="E17" s="149">
        <v>0.6</v>
      </c>
      <c r="F17" s="154">
        <v>0.7</v>
      </c>
    </row>
    <row r="18" spans="3:6" x14ac:dyDescent="0.25">
      <c r="C18" s="125" t="s">
        <v>381</v>
      </c>
      <c r="D18" s="149">
        <v>0.45</v>
      </c>
      <c r="E18" s="149">
        <v>0.5</v>
      </c>
      <c r="F18" s="154">
        <v>0.55000000000000004</v>
      </c>
    </row>
    <row r="19" spans="3:6" x14ac:dyDescent="0.25">
      <c r="C19" s="125" t="s">
        <v>382</v>
      </c>
      <c r="D19" s="149">
        <v>0.6</v>
      </c>
      <c r="E19" s="149">
        <v>0.65</v>
      </c>
      <c r="F19" s="154">
        <v>0.7</v>
      </c>
    </row>
    <row r="20" spans="3:6" x14ac:dyDescent="0.25">
      <c r="C20" s="125" t="s">
        <v>383</v>
      </c>
      <c r="D20" s="149">
        <v>0.1</v>
      </c>
      <c r="E20" s="149">
        <v>0.15</v>
      </c>
      <c r="F20" s="154">
        <v>0.2</v>
      </c>
    </row>
    <row r="21" spans="3:6" x14ac:dyDescent="0.25">
      <c r="C21" s="125" t="s">
        <v>384</v>
      </c>
      <c r="D21" s="149">
        <v>0.17</v>
      </c>
      <c r="E21" s="149">
        <v>0.22</v>
      </c>
      <c r="F21" s="154">
        <v>0.35</v>
      </c>
    </row>
    <row r="22" spans="3:6" ht="6.75" customHeight="1" x14ac:dyDescent="0.25">
      <c r="C22" s="155"/>
      <c r="D22" s="150"/>
      <c r="E22" s="150"/>
      <c r="F22" s="156"/>
    </row>
    <row r="23" spans="3:6" x14ac:dyDescent="0.25">
      <c r="C23" s="125" t="s">
        <v>385</v>
      </c>
      <c r="D23" s="149">
        <v>0.25</v>
      </c>
      <c r="E23" s="149">
        <v>0.25</v>
      </c>
      <c r="F23" s="154">
        <v>0.25</v>
      </c>
    </row>
    <row r="24" spans="3:6" x14ac:dyDescent="0.25">
      <c r="C24" s="125" t="s">
        <v>386</v>
      </c>
      <c r="D24" s="149">
        <v>0.6</v>
      </c>
      <c r="E24" s="149">
        <v>0.6</v>
      </c>
      <c r="F24" s="154">
        <v>0.6</v>
      </c>
    </row>
    <row r="25" spans="3:6" x14ac:dyDescent="0.25">
      <c r="C25" s="125" t="s">
        <v>387</v>
      </c>
      <c r="D25" s="149">
        <v>0.3</v>
      </c>
      <c r="E25" s="149">
        <v>0.3</v>
      </c>
      <c r="F25" s="154">
        <v>0.3</v>
      </c>
    </row>
    <row r="26" spans="3:6" x14ac:dyDescent="0.25">
      <c r="C26" s="125" t="s">
        <v>388</v>
      </c>
      <c r="D26" s="149">
        <v>0.25</v>
      </c>
      <c r="E26" s="149">
        <v>0.3</v>
      </c>
      <c r="F26" s="154">
        <v>0.3</v>
      </c>
    </row>
    <row r="27" spans="3:6" x14ac:dyDescent="0.25">
      <c r="C27" s="125" t="s">
        <v>389</v>
      </c>
      <c r="D27" s="149">
        <v>0.5</v>
      </c>
      <c r="E27" s="149">
        <v>0.55000000000000004</v>
      </c>
      <c r="F27" s="154">
        <v>0.6</v>
      </c>
    </row>
    <row r="28" spans="3:6" ht="6.75" customHeight="1" x14ac:dyDescent="0.25">
      <c r="C28" s="155"/>
      <c r="D28" s="150"/>
      <c r="E28" s="150"/>
      <c r="F28" s="156"/>
    </row>
    <row r="29" spans="3:6" x14ac:dyDescent="0.25">
      <c r="C29" s="125" t="s">
        <v>390</v>
      </c>
      <c r="D29" s="149">
        <v>0.25</v>
      </c>
      <c r="E29" s="149">
        <v>0.3</v>
      </c>
      <c r="F29" s="154">
        <v>0.35</v>
      </c>
    </row>
    <row r="30" spans="3:6" x14ac:dyDescent="0.25">
      <c r="C30" s="125" t="s">
        <v>391</v>
      </c>
      <c r="D30" s="149">
        <v>0.5</v>
      </c>
      <c r="E30" s="149">
        <v>0.7</v>
      </c>
      <c r="F30" s="154">
        <v>0.8</v>
      </c>
    </row>
    <row r="31" spans="3:6" x14ac:dyDescent="0.25">
      <c r="C31" s="125" t="s">
        <v>392</v>
      </c>
      <c r="D31" s="149">
        <v>0.6</v>
      </c>
      <c r="E31" s="149">
        <v>0.8</v>
      </c>
      <c r="F31" s="154">
        <v>0.9</v>
      </c>
    </row>
    <row r="32" spans="3:6" x14ac:dyDescent="0.25">
      <c r="C32" s="125" t="s">
        <v>393</v>
      </c>
      <c r="D32" s="149">
        <v>0.1</v>
      </c>
      <c r="E32" s="149">
        <v>0.15</v>
      </c>
      <c r="F32" s="154">
        <v>0.25</v>
      </c>
    </row>
    <row r="33" spans="3:6" x14ac:dyDescent="0.25">
      <c r="C33" s="125" t="s">
        <v>394</v>
      </c>
      <c r="D33" s="149">
        <v>0.2</v>
      </c>
      <c r="E33" s="149">
        <v>0.25</v>
      </c>
      <c r="F33" s="154">
        <v>0.3</v>
      </c>
    </row>
    <row r="34" spans="3:6" ht="6.75" customHeight="1" x14ac:dyDescent="0.25">
      <c r="C34" s="155"/>
      <c r="D34" s="150"/>
      <c r="E34" s="150"/>
      <c r="F34" s="156"/>
    </row>
    <row r="35" spans="3:6" x14ac:dyDescent="0.25">
      <c r="C35" s="125" t="s">
        <v>395</v>
      </c>
      <c r="D35" s="149">
        <v>0.1</v>
      </c>
      <c r="E35" s="149">
        <v>0.15</v>
      </c>
      <c r="F35" s="154">
        <v>0.2</v>
      </c>
    </row>
    <row r="36" spans="3:6" x14ac:dyDescent="0.25">
      <c r="C36" s="125" t="s">
        <v>396</v>
      </c>
      <c r="D36" s="149">
        <v>0.25</v>
      </c>
      <c r="E36" s="149">
        <v>0.3</v>
      </c>
      <c r="F36" s="154">
        <v>0.35</v>
      </c>
    </row>
    <row r="37" spans="3:6" x14ac:dyDescent="0.25">
      <c r="C37" s="125" t="s">
        <v>397</v>
      </c>
      <c r="D37" s="149">
        <v>0.1</v>
      </c>
      <c r="E37" s="149">
        <v>0.2</v>
      </c>
      <c r="F37" s="154">
        <v>0.3</v>
      </c>
    </row>
    <row r="38" spans="3:6" ht="6.75" customHeight="1" x14ac:dyDescent="0.25">
      <c r="C38" s="155"/>
      <c r="D38" s="150"/>
      <c r="E38" s="150"/>
      <c r="F38" s="156"/>
    </row>
    <row r="39" spans="3:6" x14ac:dyDescent="0.25">
      <c r="C39" s="125" t="s">
        <v>398</v>
      </c>
      <c r="D39" s="149">
        <v>0.25</v>
      </c>
      <c r="E39" s="149">
        <v>0.3</v>
      </c>
      <c r="F39" s="157" t="s">
        <v>360</v>
      </c>
    </row>
    <row r="40" spans="3:6" ht="13.8" thickBot="1" x14ac:dyDescent="0.3">
      <c r="C40" s="158" t="s">
        <v>399</v>
      </c>
      <c r="D40" s="159">
        <v>0.6</v>
      </c>
      <c r="E40" s="159">
        <v>0.7</v>
      </c>
      <c r="F40" s="160">
        <v>0.75</v>
      </c>
    </row>
    <row r="41" spans="3:6" ht="38.25" customHeight="1" thickBot="1" x14ac:dyDescent="0.3">
      <c r="C41" s="214" t="s">
        <v>400</v>
      </c>
      <c r="D41" s="215"/>
      <c r="E41" s="215"/>
      <c r="F41" s="216"/>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2">
        <v>1.0999999999999999E-2</v>
      </c>
    </row>
    <row r="6" spans="3:4" x14ac:dyDescent="0.25">
      <c r="C6" s="3" t="s">
        <v>410</v>
      </c>
      <c r="D6" s="162">
        <v>0.2</v>
      </c>
    </row>
    <row r="7" spans="3:4" x14ac:dyDescent="0.25">
      <c r="C7" s="3" t="s">
        <v>411</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opLeftCell="A160" zoomScaleNormal="100" workbookViewId="0">
      <selection activeCell="A202" sqref="A202"/>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419</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4" t="s">
        <v>420</v>
      </c>
      <c r="B6" s="195"/>
      <c r="C6" s="195"/>
      <c r="D6" s="195"/>
      <c r="E6" s="195"/>
      <c r="F6" s="195"/>
      <c r="G6" s="195"/>
      <c r="H6" s="195"/>
      <c r="I6" s="167"/>
      <c r="J6" s="167"/>
    </row>
    <row r="7" spans="1:35" ht="72.75" customHeight="1" x14ac:dyDescent="0.25">
      <c r="A7" s="195"/>
      <c r="B7" s="195"/>
      <c r="C7" s="195"/>
      <c r="D7" s="195"/>
      <c r="E7" s="195"/>
      <c r="F7" s="195"/>
      <c r="G7" s="195"/>
      <c r="H7" s="195"/>
      <c r="I7" s="168"/>
      <c r="J7" s="168"/>
    </row>
    <row r="8" spans="1:35" x14ac:dyDescent="0.2">
      <c r="A8" s="77"/>
      <c r="B8" s="77"/>
      <c r="C8" s="77"/>
      <c r="D8" s="77"/>
      <c r="E8" s="77"/>
      <c r="F8" s="77"/>
      <c r="G8" s="77"/>
      <c r="H8" s="77"/>
      <c r="I8" s="77"/>
    </row>
    <row r="9" spans="1:35" x14ac:dyDescent="0.2">
      <c r="A9" s="77" t="s">
        <v>1</v>
      </c>
      <c r="B9" s="77"/>
      <c r="D9" s="111">
        <v>43.3</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361</v>
      </c>
      <c r="B12" s="141" t="s">
        <v>223</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1.5</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4.34</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37.46</v>
      </c>
      <c r="C17" s="51" t="s">
        <v>3</v>
      </c>
      <c r="D17" s="79">
        <f>IF(ISBLANK(E17),0,IF($B$12='Curve Numbers'!$C$4,VLOOKUP(E17,'Curve Numbers'!$A$5:$F$93,3,FALSE),IF($B$12='Curve Numbers'!$D$4,VLOOKUP(E17,'Curve Numbers'!$A$5:$F$93,4,FALSE),IF($B$12='Curve Numbers'!$E$4,VLOOKUP(E17,'Curve Numbers'!$A$5:$F$93,5,FALSE),IF($B$12='Curve Numbers'!$F$4,VLOOKUP(E17,'Curve Numbers'!$A$5:$F$93,6,FALSE),"UPDATE")))))</f>
        <v>39</v>
      </c>
      <c r="E17" s="182" t="s">
        <v>231</v>
      </c>
      <c r="F17" s="182"/>
      <c r="G17" s="182"/>
      <c r="H17" s="77"/>
      <c r="I17" s="77"/>
      <c r="W17" s="186" t="str">
        <f>IF(ISBLANK(E17),"",VLOOKUP(E17,'Curve Numbers'!$A$5:$F$93,2,FALSE))</f>
        <v>Grass Cover &gt; 75%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39</v>
      </c>
      <c r="E18" s="182" t="s">
        <v>231</v>
      </c>
      <c r="F18" s="182"/>
      <c r="G18" s="182"/>
      <c r="H18" s="77"/>
      <c r="I18" s="77"/>
      <c r="W18" s="186" t="str">
        <f>IF(ISBLANK(E18),"",VLOOKUP(E18,'Curve Numbers'!$A$5:$F$93,2,FALSE))</f>
        <v>Grass Cover &gt; 75%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39.622170900692844</v>
      </c>
    </row>
    <row r="26" spans="1:35" ht="15" x14ac:dyDescent="0.35">
      <c r="A26" s="83" t="s">
        <v>94</v>
      </c>
      <c r="B26" s="83"/>
      <c r="C26" s="83"/>
    </row>
    <row r="28" spans="1:35" ht="15" x14ac:dyDescent="0.35">
      <c r="B28" s="75" t="s">
        <v>95</v>
      </c>
      <c r="E28" s="84">
        <f>'tc-pre'!D48</f>
        <v>1.307722474484394</v>
      </c>
      <c r="F28" s="75" t="s">
        <v>11</v>
      </c>
    </row>
    <row r="29" spans="1:35" x14ac:dyDescent="0.2">
      <c r="B29" s="75" t="s">
        <v>9</v>
      </c>
    </row>
    <row r="31" spans="1:35" x14ac:dyDescent="0.2">
      <c r="A31" s="83" t="s">
        <v>82</v>
      </c>
    </row>
    <row r="32" spans="1:35" x14ac:dyDescent="0.2">
      <c r="A32" s="97" t="s">
        <v>367</v>
      </c>
      <c r="B32" s="196" t="s">
        <v>159</v>
      </c>
      <c r="C32" s="196"/>
      <c r="D32" s="196"/>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15.238395001282317</v>
      </c>
      <c r="F43" s="75" t="s">
        <v>85</v>
      </c>
      <c r="G43" s="77"/>
    </row>
    <row r="45" spans="1:9" ht="15" x14ac:dyDescent="0.35">
      <c r="C45" s="75" t="s">
        <v>97</v>
      </c>
      <c r="E45" s="87">
        <f>0.2*E43</f>
        <v>3.0476790002564638</v>
      </c>
      <c r="F45" s="75" t="s">
        <v>85</v>
      </c>
    </row>
    <row r="46" spans="1:9" ht="12" x14ac:dyDescent="0.25">
      <c r="A46" s="76" t="str">
        <f>A2</f>
        <v>Lexington County I-20 Widening - Outfall #30</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15.238395001282317</v>
      </c>
      <c r="E56" s="90" t="s">
        <v>22</v>
      </c>
      <c r="F56" s="91">
        <f>((C56-0.2*D56)^2)/(C56+0.8*D56)</f>
        <v>1.9318850819549989E-2</v>
      </c>
      <c r="G56" s="75" t="s">
        <v>85</v>
      </c>
      <c r="H56" s="82"/>
    </row>
    <row r="57" spans="1:22" ht="14.25" customHeight="1" x14ac:dyDescent="0.2">
      <c r="B57" s="90">
        <v>10</v>
      </c>
      <c r="C57" s="86">
        <f>F36</f>
        <v>5.3</v>
      </c>
      <c r="D57" s="86">
        <f>$E$43</f>
        <v>15.238395001282317</v>
      </c>
      <c r="E57" s="90" t="s">
        <v>22</v>
      </c>
      <c r="F57" s="91">
        <f>((C57-0.2*D57)^2)/(C57+0.8*D57)</f>
        <v>0.29003671922797131</v>
      </c>
      <c r="G57" s="75" t="s">
        <v>85</v>
      </c>
      <c r="H57" s="82"/>
    </row>
    <row r="58" spans="1:22" x14ac:dyDescent="0.2">
      <c r="B58" s="90">
        <v>25</v>
      </c>
      <c r="C58" s="86">
        <f>F37</f>
        <v>6.4</v>
      </c>
      <c r="D58" s="86">
        <f>$E$43</f>
        <v>15.238395001282317</v>
      </c>
      <c r="E58" s="90" t="s">
        <v>22</v>
      </c>
      <c r="F58" s="91">
        <f>(C58-0.2*D58)^2/(C58+0.8*D58)</f>
        <v>0.6044982928415118</v>
      </c>
      <c r="G58" s="75" t="s">
        <v>85</v>
      </c>
      <c r="H58" s="82"/>
    </row>
    <row r="59" spans="1:22" x14ac:dyDescent="0.2">
      <c r="B59" s="90">
        <v>50</v>
      </c>
      <c r="C59" s="86">
        <f>F38</f>
        <v>7.3</v>
      </c>
      <c r="D59" s="86">
        <f>$E$43</f>
        <v>15.238395001282317</v>
      </c>
      <c r="E59" s="90" t="s">
        <v>22</v>
      </c>
      <c r="F59" s="91">
        <f>(C59-0.2*D59)^2/(C59+0.8*D59)</f>
        <v>0.9277357426945293</v>
      </c>
      <c r="G59" s="75" t="s">
        <v>85</v>
      </c>
      <c r="H59" s="82"/>
    </row>
    <row r="60" spans="1:22" x14ac:dyDescent="0.2">
      <c r="B60" s="90">
        <v>100</v>
      </c>
      <c r="C60" s="86">
        <f>F39</f>
        <v>8.3000000000000007</v>
      </c>
      <c r="D60" s="86">
        <f>$E$43</f>
        <v>15.238395001282317</v>
      </c>
      <c r="E60" s="90" t="s">
        <v>22</v>
      </c>
      <c r="F60" s="91">
        <f>(C60-0.2*D60)^2/(C60+0.8*D60)</f>
        <v>1.3463109772721378</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3.0476790002564638</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138.84434678120039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3.2" x14ac:dyDescent="0.25">
      <c r="B67" s="90">
        <v>10</v>
      </c>
      <c r="C67" s="86">
        <f>F36</f>
        <v>5.3</v>
      </c>
      <c r="D67" s="86">
        <f>$E$45</f>
        <v>3.0476790002564638</v>
      </c>
      <c r="E67" s="86">
        <f>IF(D67/C67&gt;0.5,0.5,D67/C67)</f>
        <v>0.5</v>
      </c>
      <c r="F67" s="91">
        <f>IF($A$63='Rainfall Distribution Coef.'!$K$2,10^(K67+(L67*LOG($E$28))+(M67*(LOG($E$28))^2)),IF($A$63='Rainfall Distribution Coef.'!$K$3,10^(N67+(O67*LOG($E$28))+(P67*(LOG($E$28))^2)),IF($A$63='Rainfall Distribution Coef.'!$K$4,10^(Q67+(R67*LOG($E$28))+(S67*(LOG($E$28))^2)),IF($A$63='Rainfall Distribution Coef.'!$K$5,10^(T67+(U67*LOG($E$28))+(V67*(LOG($E$28))^2)),"UPDATE"))))</f>
        <v>138.84434678120039</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1.67889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-6.93E-2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1.6341699999999999</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-9.0999999999999998E-2</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2.20282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-0.51598999999999995</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-1.259E-2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2.1777199999999999</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-0.36803000000000002</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-9.5250000000000001E-2</v>
      </c>
    </row>
    <row r="68" spans="1:22" ht="12.75" customHeight="1" x14ac:dyDescent="0.25">
      <c r="A68" s="92"/>
      <c r="B68" s="90">
        <v>25</v>
      </c>
      <c r="C68" s="86">
        <f>F37</f>
        <v>6.4</v>
      </c>
      <c r="D68" s="86">
        <f>$E$45</f>
        <v>3.0476790002564638</v>
      </c>
      <c r="E68" s="86">
        <f>IF(D68/C68&gt;0.5,0.5,D68/C68)</f>
        <v>0.47619984379007246</v>
      </c>
      <c r="F68" s="91">
        <f>IF($A$63='Rainfall Distribution Coef.'!$K$2,10^(K68+(L68*LOG($E$28))+(M68*(LOG($E$28))^2)),IF($A$63='Rainfall Distribution Coef.'!$K$3,10^(N68+(O68*LOG($E$28))+(P68*(LOG($E$28))^2)),IF($A$63='Rainfall Distribution Coef.'!$K$4,10^(Q68+(R68*LOG($E$28))+(S68*(LOG($E$28))^2)),IF($A$63='Rainfall Distribution Coef.'!$K$5,10^(T68+(U68*LOG($E$28))+(V68*(LOG($E$28))^2)),"UPDATE"))))</f>
        <v>152.08792479599424</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1.718983743151244</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-0.11077891224266172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2.1562941526194353E-3</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1.6451656721689865</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-0.10376402377538413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3.1332905650369586E-3</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2.2454508398032225</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-0.54172272889417361</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-1.745475192930919E-2</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2.211535261943065</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-0.38950250093259664</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-0.10468914195285726</v>
      </c>
    </row>
    <row r="69" spans="1:22" ht="13.2" x14ac:dyDescent="0.25">
      <c r="B69" s="90">
        <v>50</v>
      </c>
      <c r="C69" s="86">
        <f>F38</f>
        <v>7.3</v>
      </c>
      <c r="D69" s="86">
        <f>$E$45</f>
        <v>3.0476790002564638</v>
      </c>
      <c r="E69" s="86">
        <f>IF(D69/C69&gt;0.5,0.5,D69/C69)</f>
        <v>0.41749027400773475</v>
      </c>
      <c r="F69" s="91">
        <f>IF($A$63='Rainfall Distribution Coef.'!$K$2,10^(K69+(L69*LOG($E$28))+(M69*(LOG($E$28))^2)),IF($A$63='Rainfall Distribution Coef.'!$K$3,10^(N69+(O69*LOG($E$28))+(P69*(LOG($E$28))^2)),IF($A$63='Rainfall Distribution Coef.'!$K$4,10^(Q69+(R69*LOG($E$28))+(S69*(LOG($E$28))^2)),IF($A$63='Rainfall Distribution Coef.'!$K$5,10^(T69+(U69*LOG($E$28))+(V69*(LOG($E$28))^2)),"UPDATE"))))</f>
        <v>186.13182667897257</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1.8373787161115323</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-0.26456734865027431</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3.8996811496999642E-2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1.6722894934084265</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-0.13524996604965184</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1.086240542688172E-2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2.3390054490181069</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-0.58859354770598815</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-4.4526496962833201E-2</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2.28679637941095</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-0.44712566755231409</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-0.11238819468784043</v>
      </c>
    </row>
    <row r="70" spans="1:22" ht="13.2" x14ac:dyDescent="0.25">
      <c r="B70" s="90">
        <v>100</v>
      </c>
      <c r="C70" s="86">
        <f>F39</f>
        <v>8.3000000000000007</v>
      </c>
      <c r="D70" s="86">
        <f>$E$45</f>
        <v>3.0476790002564638</v>
      </c>
      <c r="E70" s="86">
        <f>IF(D70/C70&gt;0.5,0.5,D70/C70)</f>
        <v>0.36719024099475461</v>
      </c>
      <c r="F70" s="91">
        <f>IF($A$63='Rainfall Distribution Coef.'!$K$2,10^(K70+(L70*LOG($E$28))+(M70*(LOG($E$28))^2)),IF($A$63='Rainfall Distribution Coef.'!$K$3,10^(N70+(O70*LOG($E$28))+(P70*(LOG($E$28))^2)),IF($A$63='Rainfall Distribution Coef.'!$K$4,10^(Q70+(R70*LOG($E$28))+(S70*(LOG($E$28))^2)),IF($A$63='Rainfall Distribution Coef.'!$K$5,10^(T70+(U70*LOG($E$28))+(V70*(LOG($E$28))^2)),"UPDATE"))))</f>
        <v>212.80241673171508</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1.9598137341391868</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-0.37848378054991189</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3.2794879758243932E-2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1.6955281086604232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-0.16222587375451308</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1.7484404773040554E-2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2.4000954295323562</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-0.60996811027842224</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-7.7201683811555996E-2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2.338435833006784</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-0.48636887405255075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-0.11678669905473472</v>
      </c>
    </row>
    <row r="71" spans="1:22" x14ac:dyDescent="0.2">
      <c r="E71" s="91"/>
    </row>
    <row r="72" spans="1:22" x14ac:dyDescent="0.2">
      <c r="A72" s="83" t="s">
        <v>90</v>
      </c>
      <c r="B72" s="83"/>
      <c r="C72" s="83"/>
    </row>
    <row r="73" spans="1:22" ht="12" customHeight="1" x14ac:dyDescent="0.2"/>
    <row r="74" spans="1:22" ht="15" x14ac:dyDescent="0.35">
      <c r="B74" s="170">
        <v>0</v>
      </c>
      <c r="C74" s="75" t="s">
        <v>91</v>
      </c>
      <c r="D74" s="96">
        <f>B74/D9</f>
        <v>0</v>
      </c>
      <c r="E74" s="97" t="s">
        <v>102</v>
      </c>
      <c r="F74" s="171">
        <v>1</v>
      </c>
    </row>
    <row r="76" spans="1:22" ht="13.2" x14ac:dyDescent="0.35">
      <c r="A76" s="198" t="s">
        <v>103</v>
      </c>
      <c r="B76" s="198"/>
      <c r="C76" s="198"/>
      <c r="D76" s="198"/>
      <c r="E76" s="198"/>
      <c r="F76" s="198"/>
      <c r="G76" s="198"/>
      <c r="H76" s="198"/>
      <c r="I76" s="198"/>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138.84434678120039</v>
      </c>
      <c r="D81" s="86">
        <f>$D$9/640</f>
        <v>6.7656250000000001E-2</v>
      </c>
      <c r="E81" s="91">
        <f>F56</f>
        <v>1.9318850819549989E-2</v>
      </c>
      <c r="F81" s="99">
        <f>$F$74</f>
        <v>1</v>
      </c>
      <c r="G81" s="91">
        <f>F81*E81*D81*C81</f>
        <v>0.18147525396679348</v>
      </c>
      <c r="H81" s="82" t="s">
        <v>33</v>
      </c>
    </row>
    <row r="82" spans="1:10" x14ac:dyDescent="0.2">
      <c r="B82" s="90">
        <v>10</v>
      </c>
      <c r="C82" s="91">
        <f>F67</f>
        <v>138.84434678120039</v>
      </c>
      <c r="D82" s="86">
        <f>$D$9/640</f>
        <v>6.7656250000000001E-2</v>
      </c>
      <c r="E82" s="91">
        <f>F57</f>
        <v>0.29003671922797131</v>
      </c>
      <c r="F82" s="99">
        <f>$F$74</f>
        <v>1</v>
      </c>
      <c r="G82" s="91">
        <f>F82*E82*D82*C82</f>
        <v>2.7245144016706959</v>
      </c>
      <c r="H82" s="82" t="s">
        <v>33</v>
      </c>
    </row>
    <row r="83" spans="1:10" x14ac:dyDescent="0.2">
      <c r="B83" s="90">
        <v>25</v>
      </c>
      <c r="C83" s="91">
        <f>F68</f>
        <v>152.08792479599424</v>
      </c>
      <c r="D83" s="86">
        <f>$D$9/640</f>
        <v>6.7656250000000001E-2</v>
      </c>
      <c r="E83" s="91">
        <f>F58</f>
        <v>0.6044982928415118</v>
      </c>
      <c r="F83" s="99">
        <f>$F$74</f>
        <v>1</v>
      </c>
      <c r="G83" s="91">
        <f>F83*E83*D83*C83</f>
        <v>6.2201052750198844</v>
      </c>
      <c r="H83" s="82" t="s">
        <v>33</v>
      </c>
    </row>
    <row r="84" spans="1:10" x14ac:dyDescent="0.2">
      <c r="B84" s="90">
        <v>50</v>
      </c>
      <c r="C84" s="91">
        <f>F69</f>
        <v>186.13182667897257</v>
      </c>
      <c r="D84" s="86">
        <f>$D$9/640</f>
        <v>6.7656250000000001E-2</v>
      </c>
      <c r="E84" s="91">
        <f>F59</f>
        <v>0.9277357426945293</v>
      </c>
      <c r="F84" s="99">
        <f>$F$74</f>
        <v>1</v>
      </c>
      <c r="G84" s="91">
        <f>F84*E84*D84*C84</f>
        <v>11.682958950707018</v>
      </c>
      <c r="H84" s="82" t="s">
        <v>33</v>
      </c>
    </row>
    <row r="85" spans="1:10" x14ac:dyDescent="0.2">
      <c r="B85" s="90">
        <v>100</v>
      </c>
      <c r="C85" s="91">
        <f>F70</f>
        <v>212.80241673171508</v>
      </c>
      <c r="D85" s="86">
        <f>$D$9/640</f>
        <v>6.7656250000000001E-2</v>
      </c>
      <c r="E85" s="91">
        <f>F60</f>
        <v>1.3463109772721378</v>
      </c>
      <c r="F85" s="99">
        <f>$F$74</f>
        <v>1</v>
      </c>
      <c r="G85" s="91">
        <f>F85*E85*D85*C85</f>
        <v>19.383395848807112</v>
      </c>
      <c r="H85" s="82" t="s">
        <v>33</v>
      </c>
    </row>
    <row r="86" spans="1:10" x14ac:dyDescent="0.2">
      <c r="B86" s="90"/>
      <c r="C86" s="91"/>
      <c r="D86" s="86"/>
      <c r="E86" s="91"/>
      <c r="F86" s="99"/>
      <c r="G86" s="91"/>
      <c r="H86" s="82"/>
    </row>
    <row r="87" spans="1:10" ht="28.5" customHeight="1" x14ac:dyDescent="0.25">
      <c r="A87" s="179" t="s">
        <v>423</v>
      </c>
      <c r="B87" s="180"/>
      <c r="C87" s="180"/>
      <c r="D87" s="180"/>
      <c r="E87" s="180"/>
      <c r="F87" s="180"/>
      <c r="G87" s="180"/>
      <c r="H87" s="180"/>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#30</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421</v>
      </c>
      <c r="B94" s="195"/>
      <c r="C94" s="195"/>
      <c r="D94" s="195"/>
      <c r="E94" s="195"/>
      <c r="F94" s="195"/>
      <c r="G94" s="195"/>
      <c r="H94" s="195"/>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43.3</v>
      </c>
      <c r="E98" s="75" t="s">
        <v>114</v>
      </c>
    </row>
    <row r="99" spans="1:35" ht="12.75" customHeight="1" x14ac:dyDescent="0.2"/>
    <row r="100" spans="1:35" ht="12.75" customHeight="1" x14ac:dyDescent="0.2">
      <c r="A100" s="75" t="s">
        <v>113</v>
      </c>
      <c r="D100" s="123">
        <f>B106-B15</f>
        <v>1.5</v>
      </c>
      <c r="E100" s="75" t="s">
        <v>115</v>
      </c>
    </row>
    <row r="101" spans="1:35" ht="12.75" customHeight="1" x14ac:dyDescent="0.2"/>
    <row r="102" spans="1:35" ht="12.75" customHeight="1" x14ac:dyDescent="0.2">
      <c r="A102" s="80" t="s">
        <v>93</v>
      </c>
      <c r="B102" s="83"/>
      <c r="C102" s="83"/>
    </row>
    <row r="103" spans="1:35" ht="12.75" customHeight="1" x14ac:dyDescent="0.2">
      <c r="A103" s="146" t="s">
        <v>361</v>
      </c>
      <c r="B103" s="141" t="s">
        <v>223</v>
      </c>
    </row>
    <row r="104" spans="1:35" ht="12.75" customHeight="1" thickBot="1" x14ac:dyDescent="0.25">
      <c r="A104" s="146"/>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3</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4.34</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35.96</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39</v>
      </c>
      <c r="E108" s="182" t="s">
        <v>231</v>
      </c>
      <c r="F108" s="182"/>
      <c r="G108" s="182"/>
      <c r="W108" s="186" t="str">
        <f>IF(ISBLANK(E108),"",VLOOKUP(E108,'Curve Numbers'!$A$5:$F$93,2,FALSE))</f>
        <v>Grass Cover &gt; 75%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39</v>
      </c>
      <c r="E109" s="182" t="s">
        <v>231</v>
      </c>
      <c r="F109" s="182"/>
      <c r="G109" s="182"/>
      <c r="W109" s="186" t="str">
        <f>IF(ISBLANK(E109),"",VLOOKUP(E109,'Curve Numbers'!$A$5:$F$93,2,FALSE))</f>
        <v>Grass Cover &gt; 75%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41.146420323325643</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1.307722474484394</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7" t="str">
        <f>B32</f>
        <v>Lexington, SC</v>
      </c>
      <c r="C123" s="197"/>
      <c r="D123" s="197"/>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14.303450753238586</v>
      </c>
      <c r="F134" s="75" t="s">
        <v>85</v>
      </c>
    </row>
    <row r="136" spans="1:9" ht="15" x14ac:dyDescent="0.35">
      <c r="C136" s="75" t="s">
        <v>97</v>
      </c>
      <c r="E136" s="87">
        <f>0.2*E134</f>
        <v>2.8606901506477174</v>
      </c>
      <c r="F136" s="75" t="s">
        <v>85</v>
      </c>
    </row>
    <row r="137" spans="1:9" s="76" customFormat="1" ht="12" x14ac:dyDescent="0.25">
      <c r="A137" s="76" t="str">
        <f>A2</f>
        <v>Lexington County I-20 Widening - Outfall #30</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14.303450753238586</v>
      </c>
      <c r="E147" s="90" t="s">
        <v>22</v>
      </c>
      <c r="F147" s="91">
        <f>((C147-0.2*D147)^2)/(C147+0.8*D147)</f>
        <v>3.6335023057879133E-2</v>
      </c>
      <c r="G147" s="75" t="s">
        <v>85</v>
      </c>
      <c r="H147" s="82"/>
    </row>
    <row r="148" spans="1:22" x14ac:dyDescent="0.2">
      <c r="B148" s="90">
        <v>10</v>
      </c>
      <c r="C148" s="86">
        <f>F127</f>
        <v>5.3</v>
      </c>
      <c r="D148" s="86">
        <f>$E$134</f>
        <v>14.303450753238586</v>
      </c>
      <c r="E148" s="90" t="s">
        <v>22</v>
      </c>
      <c r="F148" s="91">
        <f>((C148-0.2*D148)^2)/(C148+0.8*D148)</f>
        <v>0.35539136480433708</v>
      </c>
      <c r="G148" s="75" t="s">
        <v>85</v>
      </c>
      <c r="H148" s="82"/>
    </row>
    <row r="149" spans="1:22" x14ac:dyDescent="0.2">
      <c r="B149" s="90">
        <v>25</v>
      </c>
      <c r="C149" s="86">
        <f>F128</f>
        <v>6.4</v>
      </c>
      <c r="D149" s="86">
        <f>$E$134</f>
        <v>14.303450753238586</v>
      </c>
      <c r="E149" s="90" t="s">
        <v>22</v>
      </c>
      <c r="F149" s="91">
        <f>(C149-0.2*D149)^2/(C149+0.8*D149)</f>
        <v>0.70206144041988261</v>
      </c>
      <c r="G149" s="75" t="s">
        <v>85</v>
      </c>
      <c r="H149" s="82"/>
    </row>
    <row r="150" spans="1:22" x14ac:dyDescent="0.2">
      <c r="B150" s="90">
        <v>50</v>
      </c>
      <c r="C150" s="86">
        <f>F129</f>
        <v>7.3</v>
      </c>
      <c r="D150" s="86">
        <f>$E$134</f>
        <v>14.303450753238586</v>
      </c>
      <c r="E150" s="90" t="s">
        <v>22</v>
      </c>
      <c r="F150" s="91">
        <f>(C150-0.2*D150)^2/(C150+0.8*D150)</f>
        <v>1.0514711443218221</v>
      </c>
      <c r="G150" s="75" t="s">
        <v>85</v>
      </c>
      <c r="H150" s="82"/>
    </row>
    <row r="151" spans="1:22" x14ac:dyDescent="0.2">
      <c r="B151" s="90">
        <v>100</v>
      </c>
      <c r="C151" s="86">
        <f>F130</f>
        <v>8.3000000000000007</v>
      </c>
      <c r="D151" s="86">
        <f>$E$134</f>
        <v>14.303450753238586</v>
      </c>
      <c r="E151" s="90" t="s">
        <v>22</v>
      </c>
      <c r="F151" s="91">
        <f>(C151-0.2*D151)^2/(C151+0.8*D151)</f>
        <v>1.4985792631947394</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2.8606901506477174</v>
      </c>
      <c r="E157" s="86">
        <f>IF(D157/C157&gt;0.5,0.5,D157/C157)</f>
        <v>0.5</v>
      </c>
      <c r="F157" s="91">
        <f>IF($A$63='Rainfall Distribution Coef.'!$K$2,10^(K157+(L157*LOG($E$119))+(M157*(LOG($E$119))^2)),IF($A$63='Rainfall Distribution Coef.'!$K$3,10^(N157+(O157*LOG($E$119))+(P157*(LOG($E$119))^2)),IF($A$63='Rainfall Distribution Coef.'!$K$4,10^(Q157+(R157*LOG($E$119))+(S157*(LOG($E$119))^2)),IF($A$63='Rainfall Distribution Coef.'!$K$5,10^(T157+(U157*LOG($E$119))+(V157*(LOG($E$119))^2)),"UPDATE"))))</f>
        <v>138.84434678120039</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1.67889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-6.93E-2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1.6341699999999999</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-9.0999999999999998E-2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2.20282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-0.51598999999999995</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-1.259E-2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2.1777199999999999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-0.36803000000000002</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-9.5250000000000001E-2</v>
      </c>
    </row>
    <row r="158" spans="1:22" ht="13.2" x14ac:dyDescent="0.25">
      <c r="B158" s="90">
        <v>10</v>
      </c>
      <c r="C158" s="86">
        <f>F127</f>
        <v>5.3</v>
      </c>
      <c r="D158" s="86">
        <f>$E$136</f>
        <v>2.8606901506477174</v>
      </c>
      <c r="E158" s="86">
        <f>IF(D158/C158&gt;0.5,0.5,D158/C158)</f>
        <v>0.5</v>
      </c>
      <c r="F158" s="91">
        <f>IF($A$63='Rainfall Distribution Coef.'!$K$2,10^(K158+(L158*LOG($E$119))+(M158*(LOG($E$119))^2)),IF($A$63='Rainfall Distribution Coef.'!$K$3,10^(N158+(O158*LOG($E$119))+(P158*(LOG($E$119))^2)),IF($A$63='Rainfall Distribution Coef.'!$K$4,10^(Q158+(R158*LOG($E$119))+(S158*(LOG($E$119))^2)),IF($A$63='Rainfall Distribution Coef.'!$K$5,10^(T158+(U158*LOG($E$119))+(V158*(LOG($E$119))^2)),"UPDATE"))))</f>
        <v>138.84434678120039</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1.67889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-6.93E-2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1.6341699999999999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-9.0999999999999998E-2</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2.20282</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-0.51598999999999995</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-1.259E-2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2.1777199999999999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-0.36803000000000002</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-9.5250000000000001E-2</v>
      </c>
    </row>
    <row r="159" spans="1:22" ht="13.2" x14ac:dyDescent="0.25">
      <c r="A159" s="92"/>
      <c r="B159" s="90">
        <v>25</v>
      </c>
      <c r="C159" s="86">
        <f>F128</f>
        <v>6.4</v>
      </c>
      <c r="D159" s="86">
        <f>$E$136</f>
        <v>2.8606901506477174</v>
      </c>
      <c r="E159" s="86">
        <f>IF(D159/C159&gt;0.5,0.5,D159/C159)</f>
        <v>0.44698283603870581</v>
      </c>
      <c r="F159" s="91">
        <f>IF($A$63='Rainfall Distribution Coef.'!$K$2,10^(K159+(L159*LOG($E$119))+(M159*(LOG($E$119))^2)),IF($A$63='Rainfall Distribution Coef.'!$K$3,10^(N159+(O159*LOG($E$119))+(P159*(LOG($E$119))^2)),IF($A$63='Rainfall Distribution Coef.'!$K$4,10^(Q159+(R159*LOG($E$119))+(S159*(LOG($E$119))^2)),IF($A$63='Rainfall Distribution Coef.'!$K$5,10^(T159+(U159*LOG($E$119))+(V159*(LOG($E$119))^2)),"UPDATE"))))</f>
        <v>169.72661744405826</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1.7700118059203882</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-0.1664750873352645</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7.7287972317641104E-3</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1.6586639297501178</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-0.11943310503244207</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6.9797096355043789E-3</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2.2967072165532882</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-0.57177099032352219</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-2.4825465526144529E-2</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2.252290081834714</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-0.41629414320513697</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-0.11483017882400484</v>
      </c>
    </row>
    <row r="160" spans="1:22" ht="13.2" x14ac:dyDescent="0.25">
      <c r="B160" s="90">
        <v>50</v>
      </c>
      <c r="C160" s="86">
        <f>F129</f>
        <v>7.3</v>
      </c>
      <c r="D160" s="86">
        <f>$E$136</f>
        <v>2.8606901506477174</v>
      </c>
      <c r="E160" s="86">
        <f>IF(D160/C160&gt;0.5,0.5,D160/C160)</f>
        <v>0.39187536310242704</v>
      </c>
      <c r="F160" s="91">
        <f>IF($A$63='Rainfall Distribution Coef.'!$K$2,10^(K160+(L160*LOG($E$119))+(M160*(LOG($E$119))^2)),IF($A$63='Rainfall Distribution Coef.'!$K$3,10^(N160+(O160*LOG($E$119))+(P160*(LOG($E$119))^2)),IF($A$63='Rainfall Distribution Coef.'!$K$4,10^(Q160+(R160*LOG($E$119))+(S160*(LOG($E$119))^2)),IF($A$63='Rainfall Distribution Coef.'!$K$5,10^(T160+(U160*LOG($E$119))+(V160*(LOG($E$119))^2)),"UPDATE"))))</f>
        <v>200.4936888624066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1.8977553371604983</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-0.33654375808897652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5.1412398851850463E-2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1.6841235822466787</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-0.14898724276816838</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1.4234608447565477E-2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2.3730059765313967</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-0.60139249885821688</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-6.1408142687067194E-2</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2.3149800299800738</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-0.4706000180501696</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-0.11238781029514749</v>
      </c>
    </row>
    <row r="161" spans="1:22" ht="13.2" x14ac:dyDescent="0.25">
      <c r="B161" s="90">
        <v>100</v>
      </c>
      <c r="C161" s="86">
        <f>F130</f>
        <v>8.3000000000000007</v>
      </c>
      <c r="D161" s="86">
        <f>$E$136</f>
        <v>2.8606901506477174</v>
      </c>
      <c r="E161" s="86">
        <f>IF(D161/C161&gt;0.5,0.5,D161/C161)</f>
        <v>0.34466146393345992</v>
      </c>
      <c r="F161" s="91">
        <f>IF($A$63='Rainfall Distribution Coef.'!$K$2,10^(K161+(L161*LOG($E$119))+(M161*(LOG($E$119))^2)),IF($A$63='Rainfall Distribution Coef.'!$K$3,10^(N161+(O161*LOG($E$119))+(P161*(LOG($E$119))^2)),IF($A$63='Rainfall Distribution Coef.'!$K$4,10^(Q161+(R161*LOG($E$119))+(S161*(LOG($E$119))^2)),IF($A$63='Rainfall Distribution Coef.'!$K$5,10^(T161+(U161*LOG($E$119))+(V161*(LOG($E$119))^2)),"UPDATE"))))</f>
        <v>224.2963901785877</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2.0140498061485519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-0.41294952573275528</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1.4685786646281999E-2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1.7059364036627414</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-0.17430805689248544</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2.045031827316E-2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2.4239098906408962</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-0.61664788988242325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-9.1229085364154833E-2</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2.3592020526424413</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-0.49891632648192286</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-0.12119531108876809</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71">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138.84434678120039</v>
      </c>
      <c r="D172" s="86">
        <f>$D$98/640</f>
        <v>6.7656250000000001E-2</v>
      </c>
      <c r="E172" s="91">
        <f>F147</f>
        <v>3.6335023057879133E-2</v>
      </c>
      <c r="F172" s="99">
        <f>$F$165</f>
        <v>1</v>
      </c>
      <c r="G172" s="91">
        <f>F172*E172*D172*C172</f>
        <v>0.34131986415284665</v>
      </c>
      <c r="H172" s="82" t="s">
        <v>33</v>
      </c>
    </row>
    <row r="173" spans="1:22" x14ac:dyDescent="0.2">
      <c r="B173" s="90">
        <v>10</v>
      </c>
      <c r="C173" s="91">
        <f>F158</f>
        <v>138.84434678120039</v>
      </c>
      <c r="D173" s="86">
        <f>$D$98/640</f>
        <v>6.7656250000000001E-2</v>
      </c>
      <c r="E173" s="91">
        <f>F148</f>
        <v>0.35539136480433708</v>
      </c>
      <c r="F173" s="99">
        <f>$F$165</f>
        <v>1</v>
      </c>
      <c r="G173" s="91">
        <f>F173*E173*D173*C173</f>
        <v>3.3384355409073323</v>
      </c>
      <c r="H173" s="82" t="s">
        <v>33</v>
      </c>
    </row>
    <row r="174" spans="1:22" x14ac:dyDescent="0.2">
      <c r="B174" s="90">
        <v>25</v>
      </c>
      <c r="C174" s="91">
        <f>F159</f>
        <v>169.72661744405826</v>
      </c>
      <c r="D174" s="86">
        <f>$D$98/640</f>
        <v>6.7656250000000001E-2</v>
      </c>
      <c r="E174" s="91">
        <f>F149</f>
        <v>0.70206144041988261</v>
      </c>
      <c r="F174" s="99">
        <f>$F$165</f>
        <v>1</v>
      </c>
      <c r="G174" s="91">
        <f>F174*E174*D174*C174</f>
        <v>8.0618181803625273</v>
      </c>
      <c r="H174" s="82" t="s">
        <v>33</v>
      </c>
    </row>
    <row r="175" spans="1:22" x14ac:dyDescent="0.2">
      <c r="B175" s="90">
        <v>50</v>
      </c>
      <c r="C175" s="91">
        <f>F160</f>
        <v>200.4936888624066</v>
      </c>
      <c r="D175" s="86">
        <f>$D$98/640</f>
        <v>6.7656250000000001E-2</v>
      </c>
      <c r="E175" s="91">
        <f>F150</f>
        <v>1.0514711443218221</v>
      </c>
      <c r="F175" s="99">
        <f>$F$165</f>
        <v>1</v>
      </c>
      <c r="G175" s="91">
        <f>F175*E175*D175*C175</f>
        <v>14.262839253449895</v>
      </c>
      <c r="H175" s="82" t="s">
        <v>33</v>
      </c>
    </row>
    <row r="176" spans="1:22" x14ac:dyDescent="0.2">
      <c r="B176" s="90">
        <v>100</v>
      </c>
      <c r="C176" s="91">
        <f>F161</f>
        <v>224.2963901785877</v>
      </c>
      <c r="D176" s="86">
        <f>$D$98/640</f>
        <v>6.7656250000000001E-2</v>
      </c>
      <c r="E176" s="91">
        <f>F151</f>
        <v>1.4985792631947394</v>
      </c>
      <c r="F176" s="99">
        <f>$F$165</f>
        <v>1</v>
      </c>
      <c r="G176" s="91">
        <f>F176*E176*D176*C176</f>
        <v>22.741019216211303</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0.18147525396679348</v>
      </c>
      <c r="D181" s="105">
        <f>G172</f>
        <v>0.34131986415284665</v>
      </c>
      <c r="E181" s="79">
        <f>D181-C181</f>
        <v>0.15984461018605317</v>
      </c>
      <c r="F181" s="106">
        <f>E181/D181</f>
        <v>0.46831323627409233</v>
      </c>
    </row>
    <row r="182" spans="1:10" x14ac:dyDescent="0.2">
      <c r="A182" s="77"/>
      <c r="B182" s="51">
        <v>10</v>
      </c>
      <c r="C182" s="105">
        <f>G82</f>
        <v>2.7245144016706959</v>
      </c>
      <c r="D182" s="105">
        <f>G173</f>
        <v>3.3384355409073323</v>
      </c>
      <c r="E182" s="79">
        <f>D182-C182</f>
        <v>0.61392113923663638</v>
      </c>
      <c r="F182" s="106">
        <f>E182/C182</f>
        <v>0.22533231568171364</v>
      </c>
    </row>
    <row r="183" spans="1:10" x14ac:dyDescent="0.2">
      <c r="A183" s="77"/>
      <c r="B183" s="173">
        <v>25</v>
      </c>
      <c r="C183" s="105">
        <f>G83</f>
        <v>6.2201052750198844</v>
      </c>
      <c r="D183" s="105">
        <f>G174</f>
        <v>8.0618181803625273</v>
      </c>
      <c r="E183" s="79">
        <f t="shared" ref="E183:E185" si="0">D183-C183</f>
        <v>1.8417129053426429</v>
      </c>
      <c r="F183" s="106">
        <f t="shared" ref="F183:F185" si="1">E183/C183</f>
        <v>0.29609031100148947</v>
      </c>
    </row>
    <row r="184" spans="1:10" x14ac:dyDescent="0.2">
      <c r="A184" s="77"/>
      <c r="B184" s="173">
        <v>50</v>
      </c>
      <c r="C184" s="105">
        <f>G84</f>
        <v>11.682958950707018</v>
      </c>
      <c r="D184" s="105">
        <f>G175</f>
        <v>14.262839253449895</v>
      </c>
      <c r="E184" s="79">
        <f t="shared" si="0"/>
        <v>2.5798803027428772</v>
      </c>
      <c r="F184" s="106">
        <f t="shared" si="1"/>
        <v>0.22082422044175293</v>
      </c>
    </row>
    <row r="185" spans="1:10" x14ac:dyDescent="0.2">
      <c r="A185" s="77"/>
      <c r="B185" s="51">
        <v>100</v>
      </c>
      <c r="C185" s="105">
        <f>G85</f>
        <v>19.383395848807112</v>
      </c>
      <c r="D185" s="105">
        <f>G176</f>
        <v>22.741019216211303</v>
      </c>
      <c r="E185" s="79">
        <f t="shared" si="0"/>
        <v>3.3576233674041909</v>
      </c>
      <c r="F185" s="106">
        <f t="shared" si="1"/>
        <v>0.17322162708712494</v>
      </c>
    </row>
    <row r="186" spans="1:10" ht="69" customHeight="1" x14ac:dyDescent="0.25">
      <c r="A186" s="194" t="s">
        <v>422</v>
      </c>
      <c r="B186" s="195"/>
      <c r="C186" s="195"/>
      <c r="D186" s="195"/>
      <c r="E186" s="195"/>
      <c r="F186" s="195"/>
      <c r="G186" s="195"/>
      <c r="H186" s="195"/>
      <c r="I186" s="165"/>
      <c r="J186" s="165"/>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G5" sqref="G5"/>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413</v>
      </c>
      <c r="B1" s="199"/>
      <c r="C1" s="199"/>
      <c r="D1" s="199"/>
      <c r="E1" s="169" t="s">
        <v>414</v>
      </c>
      <c r="F1" s="3" t="s">
        <v>416</v>
      </c>
    </row>
    <row r="2" spans="1:7" x14ac:dyDescent="0.25">
      <c r="A2" s="1"/>
      <c r="B2" s="1"/>
    </row>
    <row r="3" spans="1:7" x14ac:dyDescent="0.25">
      <c r="A3" s="3" t="s">
        <v>35</v>
      </c>
      <c r="B3" s="166" t="s">
        <v>418</v>
      </c>
      <c r="D3" s="3" t="s">
        <v>36</v>
      </c>
      <c r="E3" s="4"/>
    </row>
    <row r="4" spans="1:7" x14ac:dyDescent="0.25">
      <c r="A4" s="3" t="s">
        <v>37</v>
      </c>
      <c r="B4" s="121">
        <v>25</v>
      </c>
      <c r="C4" s="4" t="str">
        <f>IF(E1="Yes","",IF(E1="No","Pre-Construction","Update"))</f>
        <v/>
      </c>
      <c r="D4" s="3" t="s">
        <v>38</v>
      </c>
      <c r="E4" s="174" t="s">
        <v>431</v>
      </c>
    </row>
    <row r="6" spans="1:7" x14ac:dyDescent="0.25">
      <c r="A6" s="199" t="s">
        <v>39</v>
      </c>
      <c r="B6" s="199"/>
      <c r="C6" s="217" t="s">
        <v>430</v>
      </c>
      <c r="D6" s="177"/>
    </row>
    <row r="7" spans="1:7" x14ac:dyDescent="0.25">
      <c r="A7" s="199" t="s">
        <v>412</v>
      </c>
      <c r="B7" s="199"/>
      <c r="C7" s="177" t="s">
        <v>159</v>
      </c>
      <c r="D7" s="177"/>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3129.68</v>
      </c>
      <c r="F25" s="139">
        <v>0</v>
      </c>
    </row>
    <row r="26" spans="1:9" x14ac:dyDescent="0.25">
      <c r="A26" s="11" t="s">
        <v>54</v>
      </c>
      <c r="D26" s="139">
        <f>112/D25</f>
        <v>3.5786406277958129E-2</v>
      </c>
      <c r="E26" s="21"/>
      <c r="F26" s="139">
        <v>1</v>
      </c>
      <c r="G26" s="21"/>
      <c r="H26" s="21"/>
      <c r="I26" s="21"/>
    </row>
    <row r="27" spans="1:9" x14ac:dyDescent="0.25">
      <c r="A27" s="11" t="s">
        <v>55</v>
      </c>
      <c r="D27" s="12">
        <f>(16.1345*(D26^0.5))</f>
        <v>3.0522110157742666</v>
      </c>
      <c r="E27" s="5"/>
      <c r="F27" s="12">
        <f>(20.3282*(F26^0.5))</f>
        <v>20.328199999999999</v>
      </c>
      <c r="G27" s="5"/>
    </row>
    <row r="28" spans="1:9" x14ac:dyDescent="0.25">
      <c r="A28" s="11"/>
      <c r="D28" s="12"/>
      <c r="E28" s="17"/>
      <c r="F28" s="12"/>
      <c r="G28" s="17"/>
    </row>
    <row r="29" spans="1:9" x14ac:dyDescent="0.25">
      <c r="A29" s="11" t="s">
        <v>56</v>
      </c>
      <c r="D29" s="12">
        <f>(D25)/((3600*(D27)))</f>
        <v>0.28482812985819156</v>
      </c>
      <c r="E29" s="17"/>
      <c r="F29" s="12">
        <f>(F25)/((3600*(F27)))</f>
        <v>0</v>
      </c>
      <c r="G29" s="17"/>
    </row>
    <row r="30" spans="1:9" x14ac:dyDescent="0.25">
      <c r="D30" s="17"/>
      <c r="E30" s="17"/>
      <c r="F30" s="17"/>
      <c r="G30" s="17"/>
    </row>
    <row r="31" spans="1:9" x14ac:dyDescent="0.25">
      <c r="D31" s="200" t="s">
        <v>57</v>
      </c>
      <c r="E31" s="201"/>
      <c r="F31" s="201"/>
      <c r="G31" s="201"/>
      <c r="H31" s="22">
        <f>D29+F29</f>
        <v>0.28482812985819156</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1.307722474484394</v>
      </c>
      <c r="E48" s="1" t="s">
        <v>70</v>
      </c>
      <c r="F48" s="27">
        <f>D48*60</f>
        <v>78.463348469063646</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zoomScaleNormal="100" workbookViewId="0">
      <selection activeCell="I6" sqref="I6"/>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2" t="s">
        <v>418</v>
      </c>
      <c r="D2" s="3" t="s">
        <v>36</v>
      </c>
      <c r="E2" s="4"/>
    </row>
    <row r="3" spans="1:7" x14ac:dyDescent="0.25">
      <c r="A3" s="3" t="s">
        <v>37</v>
      </c>
      <c r="B3" s="121">
        <v>25</v>
      </c>
      <c r="C3" s="3" t="s">
        <v>112</v>
      </c>
      <c r="D3" s="3" t="s">
        <v>38</v>
      </c>
      <c r="E3" s="174" t="s">
        <v>431</v>
      </c>
    </row>
    <row r="5" spans="1:7" x14ac:dyDescent="0.25">
      <c r="A5" s="199" t="s">
        <v>39</v>
      </c>
      <c r="B5" s="199"/>
      <c r="C5" s="217" t="s">
        <v>430</v>
      </c>
      <c r="D5" s="177"/>
    </row>
    <row r="6" spans="1:7" x14ac:dyDescent="0.25">
      <c r="A6" s="199" t="s">
        <v>412</v>
      </c>
      <c r="B6" s="199"/>
      <c r="C6" s="176" t="str">
        <f>'tc-pre'!C7:D7</f>
        <v>Lexington, SC</v>
      </c>
      <c r="D6" s="176"/>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1/D13</f>
        <v>0.01</v>
      </c>
      <c r="E15" s="15"/>
      <c r="F15" s="139">
        <v>9.9999999999999995E-7</v>
      </c>
      <c r="G15" s="15"/>
    </row>
    <row r="16" spans="1:7" x14ac:dyDescent="0.25">
      <c r="A16" s="11"/>
      <c r="D16" s="11"/>
      <c r="E16" s="16"/>
      <c r="F16" s="11"/>
      <c r="G16" s="16"/>
    </row>
    <row r="17" spans="1:9" x14ac:dyDescent="0.25">
      <c r="A17" s="11" t="s">
        <v>47</v>
      </c>
      <c r="D17" s="12">
        <f>((0.007*(D12*D13)^0.8)/(((D14)^0.5)*((D15)^0.4)))</f>
        <v>0.77520895196986561</v>
      </c>
      <c r="E17" s="16"/>
      <c r="F17" s="12">
        <f>((0.007*(F12*F13)^0.8)/(((F14)^0.5)*((F15)^0.4)))</f>
        <v>0</v>
      </c>
      <c r="G17" s="16"/>
    </row>
    <row r="18" spans="1:9" x14ac:dyDescent="0.25">
      <c r="D18" s="17"/>
      <c r="E18" s="16"/>
      <c r="F18" s="17"/>
      <c r="G18" s="16"/>
    </row>
    <row r="19" spans="1:9" x14ac:dyDescent="0.25">
      <c r="D19" s="200" t="s">
        <v>48</v>
      </c>
      <c r="E19" s="201"/>
      <c r="F19" s="201"/>
      <c r="G19" s="201"/>
      <c r="H19" s="18">
        <f>D17+F17</f>
        <v>0.77520895196986561</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3129.68</v>
      </c>
      <c r="F24" s="139">
        <v>0</v>
      </c>
    </row>
    <row r="25" spans="1:9" x14ac:dyDescent="0.25">
      <c r="A25" s="11" t="s">
        <v>54</v>
      </c>
      <c r="D25" s="139">
        <f>112/D24</f>
        <v>3.5786406277958129E-2</v>
      </c>
      <c r="E25" s="21"/>
      <c r="F25" s="139">
        <v>1</v>
      </c>
      <c r="G25" s="21"/>
      <c r="H25" s="21"/>
      <c r="I25" s="21"/>
    </row>
    <row r="26" spans="1:9" x14ac:dyDescent="0.25">
      <c r="A26" s="11" t="s">
        <v>55</v>
      </c>
      <c r="D26" s="12">
        <f>(16.1345*(D25^0.5))</f>
        <v>3.0522110157742666</v>
      </c>
      <c r="E26" s="5"/>
      <c r="F26" s="12">
        <f>(20.3282*(F25^0.5))</f>
        <v>20.328199999999999</v>
      </c>
      <c r="G26" s="5"/>
    </row>
    <row r="27" spans="1:9" x14ac:dyDescent="0.25">
      <c r="A27" s="11"/>
      <c r="D27" s="12"/>
      <c r="E27" s="17"/>
      <c r="F27" s="12"/>
      <c r="G27" s="17"/>
    </row>
    <row r="28" spans="1:9" x14ac:dyDescent="0.25">
      <c r="A28" s="11" t="s">
        <v>56</v>
      </c>
      <c r="D28" s="12">
        <f>(D24)/((3600*(D26)))</f>
        <v>0.28482812985819156</v>
      </c>
      <c r="E28" s="17"/>
      <c r="F28" s="12">
        <f>(F24)/((3600*(F26)))</f>
        <v>0</v>
      </c>
      <c r="G28" s="17"/>
    </row>
    <row r="29" spans="1:9" x14ac:dyDescent="0.25">
      <c r="D29" s="17"/>
      <c r="E29" s="17"/>
      <c r="F29" s="17"/>
      <c r="G29" s="17"/>
    </row>
    <row r="30" spans="1:9" x14ac:dyDescent="0.25">
      <c r="D30" s="200" t="s">
        <v>57</v>
      </c>
      <c r="E30" s="201"/>
      <c r="F30" s="201"/>
      <c r="G30" s="201"/>
      <c r="H30" s="22">
        <f>D28+F28</f>
        <v>0.28482812985819156</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1.307722474484394</v>
      </c>
      <c r="E47" s="1" t="s">
        <v>70</v>
      </c>
      <c r="F47" s="27">
        <f>D47*60</f>
        <v>78.463348469063646</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143</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1.7776053849390845</v>
      </c>
      <c r="H9" s="9">
        <f t="shared" ref="H9:H14" si="1">B9/(C9+$D$5)^D9</f>
        <v>1.7776053849390845</v>
      </c>
      <c r="J9" s="29"/>
      <c r="K9" s="29"/>
      <c r="L9" s="30"/>
    </row>
    <row r="10" spans="1:12" x14ac:dyDescent="0.25">
      <c r="A10" s="31">
        <v>5</v>
      </c>
      <c r="B10" s="34">
        <v>255.24329</v>
      </c>
      <c r="C10" s="30">
        <v>33.254809999999999</v>
      </c>
      <c r="D10" s="30">
        <v>1.0208900000000001</v>
      </c>
      <c r="E10" s="29"/>
      <c r="F10" s="29"/>
      <c r="G10" s="9">
        <f t="shared" si="0"/>
        <v>2.070357100184621</v>
      </c>
      <c r="H10" s="9">
        <f t="shared" si="1"/>
        <v>2.070357100184621</v>
      </c>
      <c r="J10" s="29"/>
      <c r="K10" s="29"/>
      <c r="L10" s="30"/>
    </row>
    <row r="11" spans="1:12" x14ac:dyDescent="0.25">
      <c r="A11" s="31">
        <v>10</v>
      </c>
      <c r="B11" s="34">
        <v>265.24779999999998</v>
      </c>
      <c r="C11" s="30">
        <v>31.742000000000001</v>
      </c>
      <c r="D11" s="30">
        <v>1.0112399999999999</v>
      </c>
      <c r="E11" s="29"/>
      <c r="F11" s="29"/>
      <c r="G11" s="35">
        <f t="shared" si="0"/>
        <v>2.2829413812492394</v>
      </c>
      <c r="H11" s="117">
        <f t="shared" si="1"/>
        <v>2.2829413812492394</v>
      </c>
      <c r="J11" s="29"/>
      <c r="K11" s="29"/>
      <c r="L11" s="30"/>
    </row>
    <row r="12" spans="1:12" x14ac:dyDescent="0.25">
      <c r="A12" s="31">
        <v>25</v>
      </c>
      <c r="B12" s="34">
        <v>278.52156000000002</v>
      </c>
      <c r="C12" s="30">
        <v>29.775359999999999</v>
      </c>
      <c r="D12" s="30">
        <v>0.99855000000000005</v>
      </c>
      <c r="E12" s="29"/>
      <c r="F12" s="29"/>
      <c r="G12" s="9">
        <f t="shared" si="0"/>
        <v>2.590753373024246</v>
      </c>
      <c r="H12" s="9">
        <f t="shared" si="1"/>
        <v>2.590753373024246</v>
      </c>
      <c r="J12" s="29"/>
      <c r="K12" s="29"/>
      <c r="L12" s="30"/>
    </row>
    <row r="13" spans="1:12" x14ac:dyDescent="0.25">
      <c r="A13" s="31">
        <v>50</v>
      </c>
      <c r="B13" s="34">
        <v>287.81452999999999</v>
      </c>
      <c r="C13" s="30">
        <v>28.396049999999999</v>
      </c>
      <c r="D13" s="30">
        <v>0.98965999999999998</v>
      </c>
      <c r="E13" s="29"/>
      <c r="F13" s="29"/>
      <c r="G13" s="9">
        <f t="shared" si="0"/>
        <v>2.8266882490284444</v>
      </c>
      <c r="H13" s="9">
        <f t="shared" si="1"/>
        <v>2.8266882490284444</v>
      </c>
    </row>
    <row r="14" spans="1:12" x14ac:dyDescent="0.25">
      <c r="A14" s="31">
        <v>100</v>
      </c>
      <c r="B14" s="34">
        <v>295.99399</v>
      </c>
      <c r="C14" s="30">
        <v>27.15249</v>
      </c>
      <c r="D14" s="30">
        <v>0.98175999999999997</v>
      </c>
      <c r="E14" s="29"/>
      <c r="F14" s="29"/>
      <c r="G14" s="9">
        <f t="shared" si="0"/>
        <v>3.0511717853616394</v>
      </c>
      <c r="H14" s="9">
        <f t="shared" si="1"/>
        <v>3.0511717853616394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144</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1.8555123142605716</v>
      </c>
      <c r="H9" s="9">
        <f t="shared" ref="H9:H14" si="1">B9/(C9+$D$5)^D9</f>
        <v>1.8555123142605716</v>
      </c>
      <c r="J9" s="29"/>
      <c r="K9" s="29"/>
      <c r="L9" s="30"/>
    </row>
    <row r="10" spans="1:12" x14ac:dyDescent="0.25">
      <c r="A10" s="31">
        <v>5</v>
      </c>
      <c r="B10" s="34">
        <v>257.69540999999998</v>
      </c>
      <c r="C10" s="30">
        <v>32.880209999999998</v>
      </c>
      <c r="D10" s="30">
        <v>1.01851</v>
      </c>
      <c r="E10" s="29"/>
      <c r="F10" s="29"/>
      <c r="G10" s="9">
        <f t="shared" si="0"/>
        <v>2.1210837422045055</v>
      </c>
      <c r="H10" s="9">
        <f t="shared" si="1"/>
        <v>2.1210837422045055</v>
      </c>
      <c r="J10" s="29"/>
      <c r="K10" s="29"/>
      <c r="L10" s="30"/>
    </row>
    <row r="11" spans="1:12" x14ac:dyDescent="0.25">
      <c r="A11" s="31">
        <v>10</v>
      </c>
      <c r="B11" s="34">
        <v>266.94598999999999</v>
      </c>
      <c r="C11" s="30">
        <v>31.48667</v>
      </c>
      <c r="D11" s="30">
        <v>1.0096099999999999</v>
      </c>
      <c r="E11" s="29"/>
      <c r="F11" s="29"/>
      <c r="G11" s="35">
        <f t="shared" si="0"/>
        <v>2.3206636935239531</v>
      </c>
      <c r="H11" s="117">
        <f t="shared" si="1"/>
        <v>2.3206636935239531</v>
      </c>
      <c r="J11" s="29"/>
      <c r="K11" s="29"/>
      <c r="L11" s="30"/>
    </row>
    <row r="12" spans="1:12" x14ac:dyDescent="0.25">
      <c r="A12" s="31">
        <v>25</v>
      </c>
      <c r="B12" s="34">
        <v>279.19853000000001</v>
      </c>
      <c r="C12" s="30">
        <v>29.675370000000001</v>
      </c>
      <c r="D12" s="30">
        <v>0.99790000000000001</v>
      </c>
      <c r="E12" s="29"/>
      <c r="F12" s="29"/>
      <c r="G12" s="9">
        <f t="shared" si="0"/>
        <v>2.6073736328429828</v>
      </c>
      <c r="H12" s="9">
        <f t="shared" si="1"/>
        <v>2.6073736328429828</v>
      </c>
      <c r="J12" s="29"/>
      <c r="K12" s="29"/>
      <c r="L12" s="30"/>
    </row>
    <row r="13" spans="1:12" x14ac:dyDescent="0.25">
      <c r="A13" s="31">
        <v>50</v>
      </c>
      <c r="B13" s="34">
        <v>287.71203000000003</v>
      </c>
      <c r="C13" s="30">
        <v>28.41133</v>
      </c>
      <c r="D13" s="30">
        <v>0.98975000000000002</v>
      </c>
      <c r="E13" s="29"/>
      <c r="F13" s="29"/>
      <c r="G13" s="9">
        <f t="shared" si="0"/>
        <v>2.8240941229015784</v>
      </c>
      <c r="H13" s="9">
        <f t="shared" si="1"/>
        <v>2.8240941229015784</v>
      </c>
    </row>
    <row r="14" spans="1:12" x14ac:dyDescent="0.25">
      <c r="A14" s="31">
        <v>100</v>
      </c>
      <c r="B14" s="34">
        <v>295.76549999999997</v>
      </c>
      <c r="C14" s="30">
        <v>27.18778</v>
      </c>
      <c r="D14" s="30">
        <v>0.98197999999999996</v>
      </c>
      <c r="E14" s="29"/>
      <c r="F14" s="29"/>
      <c r="G14" s="9">
        <f t="shared" si="0"/>
        <v>3.0446935384480258</v>
      </c>
      <c r="H14" s="9">
        <f t="shared" si="1"/>
        <v>3.0446935384480258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135</v>
      </c>
      <c r="B1" s="203"/>
      <c r="C1" s="203"/>
      <c r="D1" s="203"/>
      <c r="E1" s="203"/>
      <c r="F1" s="203"/>
      <c r="G1" s="203"/>
      <c r="H1" s="203"/>
    </row>
    <row r="2" spans="1:12" x14ac:dyDescent="0.25">
      <c r="A2" s="204" t="s">
        <v>145</v>
      </c>
      <c r="B2" s="205"/>
      <c r="C2" s="205"/>
      <c r="D2" s="205"/>
      <c r="E2" s="205"/>
      <c r="F2" s="205"/>
      <c r="G2" s="205"/>
      <c r="H2" s="205"/>
    </row>
    <row r="3" spans="1:12" x14ac:dyDescent="0.25">
      <c r="A3" s="28"/>
      <c r="B3" s="29"/>
      <c r="C3" s="29"/>
      <c r="D3" s="29"/>
      <c r="E3" s="29"/>
      <c r="F3" s="29"/>
      <c r="G3" s="29"/>
      <c r="H3" s="29"/>
    </row>
    <row r="4" spans="1:12" ht="13.8" x14ac:dyDescent="0.3">
      <c r="A4" s="206" t="s">
        <v>136</v>
      </c>
      <c r="B4" s="207"/>
      <c r="C4" s="207"/>
      <c r="D4" s="116">
        <f>'tc-pre'!F48</f>
        <v>78.463348469063646</v>
      </c>
      <c r="E4" s="29" t="s">
        <v>137</v>
      </c>
      <c r="F4" s="29"/>
      <c r="G4" s="29"/>
      <c r="H4" s="29"/>
      <c r="J4" s="202"/>
      <c r="K4" s="202"/>
      <c r="L4" s="202"/>
    </row>
    <row r="5" spans="1:12" x14ac:dyDescent="0.25">
      <c r="A5" s="206" t="s">
        <v>138</v>
      </c>
      <c r="B5" s="207"/>
      <c r="C5" s="207"/>
      <c r="D5" s="116">
        <f>'tc-post'!F47</f>
        <v>78.463348469063646</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1.7589553154057944</v>
      </c>
      <c r="H9" s="9">
        <f t="shared" ref="H9:H14" si="1">B9/(C9+$D$5)^D9</f>
        <v>1.7589553154057944</v>
      </c>
      <c r="J9" s="29"/>
      <c r="K9" s="29"/>
      <c r="L9" s="30"/>
    </row>
    <row r="10" spans="1:12" x14ac:dyDescent="0.25">
      <c r="A10" s="31">
        <v>5</v>
      </c>
      <c r="B10" s="34">
        <v>254.34352000000001</v>
      </c>
      <c r="C10" s="30">
        <v>33.392789999999998</v>
      </c>
      <c r="D10" s="30">
        <v>1.02176</v>
      </c>
      <c r="E10" s="29"/>
      <c r="F10" s="29"/>
      <c r="G10" s="9">
        <f t="shared" si="0"/>
        <v>2.0520220221945218</v>
      </c>
      <c r="H10" s="9">
        <f t="shared" si="1"/>
        <v>2.0520220221945218</v>
      </c>
      <c r="J10" s="29"/>
      <c r="K10" s="29"/>
      <c r="L10" s="30"/>
    </row>
    <row r="11" spans="1:12" x14ac:dyDescent="0.25">
      <c r="A11" s="31">
        <v>10</v>
      </c>
      <c r="B11" s="34">
        <v>264.4948</v>
      </c>
      <c r="C11" s="30">
        <v>31.854520000000001</v>
      </c>
      <c r="D11" s="30">
        <v>1.01196</v>
      </c>
      <c r="E11" s="29"/>
      <c r="F11" s="29"/>
      <c r="G11" s="35">
        <f t="shared" si="0"/>
        <v>2.2664243720371875</v>
      </c>
      <c r="H11" s="117">
        <f t="shared" si="1"/>
        <v>2.2664243720371875</v>
      </c>
      <c r="J11" s="29"/>
      <c r="K11" s="29"/>
      <c r="L11" s="30"/>
    </row>
    <row r="12" spans="1:12" x14ac:dyDescent="0.25">
      <c r="A12" s="31">
        <v>25</v>
      </c>
      <c r="B12" s="34">
        <v>277.53223000000003</v>
      </c>
      <c r="C12" s="30">
        <v>29.921430000000001</v>
      </c>
      <c r="D12" s="30">
        <v>0.99948999999999999</v>
      </c>
      <c r="E12" s="29"/>
      <c r="F12" s="29"/>
      <c r="G12" s="9">
        <f t="shared" si="0"/>
        <v>2.5667464193272003</v>
      </c>
      <c r="H12" s="9">
        <f t="shared" si="1"/>
        <v>2.5667464193272003</v>
      </c>
      <c r="J12" s="29"/>
      <c r="K12" s="29"/>
      <c r="L12" s="30"/>
    </row>
    <row r="13" spans="1:12" x14ac:dyDescent="0.25">
      <c r="A13" s="31">
        <v>50</v>
      </c>
      <c r="B13" s="34">
        <v>286.92505999999997</v>
      </c>
      <c r="C13" s="30">
        <v>28.528970000000001</v>
      </c>
      <c r="D13" s="30">
        <v>0.99051</v>
      </c>
      <c r="E13" s="29"/>
      <c r="F13" s="29"/>
      <c r="G13" s="9">
        <f t="shared" si="0"/>
        <v>2.8033313816957284</v>
      </c>
      <c r="H13" s="9">
        <f t="shared" si="1"/>
        <v>2.8033313816957284</v>
      </c>
    </row>
    <row r="14" spans="1:12" x14ac:dyDescent="0.25">
      <c r="A14" s="31">
        <v>100</v>
      </c>
      <c r="B14" s="34">
        <v>295.10935000000001</v>
      </c>
      <c r="C14" s="30">
        <v>27.28867</v>
      </c>
      <c r="D14" s="30">
        <v>0.98262000000000005</v>
      </c>
      <c r="E14" s="29"/>
      <c r="F14" s="29"/>
      <c r="G14" s="9">
        <f t="shared" si="0"/>
        <v>3.0260523791245846</v>
      </c>
      <c r="H14" s="9">
        <f t="shared" si="1"/>
        <v>3.0260523791245846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2015-09-01T15:26:21Z</dcterms:modified>
</cp:coreProperties>
</file>