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2" windowWidth="15480" windowHeight="10368"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F25" i="2" l="1"/>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H23" i="3" s="1"/>
  <c r="D43" i="3" s="1"/>
  <c r="E19" i="3"/>
  <c r="E20" i="3"/>
  <c r="E21" i="3"/>
  <c r="F43" i="3"/>
  <c r="F44" i="3"/>
  <c r="F45" i="3"/>
  <c r="F46" i="3"/>
  <c r="F47" i="3"/>
  <c r="A50" i="3"/>
  <c r="A51" i="3"/>
  <c r="G62" i="3"/>
  <c r="E68" i="3"/>
  <c r="E69" i="3"/>
  <c r="E70" i="3"/>
  <c r="H75" i="3" s="1"/>
  <c r="D103" i="3" s="1"/>
  <c r="E71" i="3"/>
  <c r="E72" i="3"/>
  <c r="E73" i="3"/>
  <c r="A78" i="3"/>
  <c r="C80" i="3"/>
  <c r="A93" i="3"/>
  <c r="A94" i="3"/>
  <c r="F103" i="3"/>
  <c r="F104" i="3"/>
  <c r="F105" i="3"/>
  <c r="F106" i="3"/>
  <c r="F107" i="3"/>
  <c r="D106" i="3" l="1"/>
  <c r="D104" i="3"/>
  <c r="D107" i="3"/>
  <c r="D105" i="3"/>
  <c r="D46" i="3"/>
  <c r="D44" i="3"/>
  <c r="D47" i="3"/>
  <c r="D45" i="3"/>
  <c r="D17" i="2"/>
  <c r="H19" i="2" s="1"/>
  <c r="D47" i="2" s="1"/>
  <c r="F47" i="2" s="1"/>
  <c r="H20" i="7"/>
  <c r="D48" i="7" s="1"/>
  <c r="E28" i="6" s="1"/>
  <c r="D176" i="6"/>
  <c r="D174" i="6"/>
  <c r="D172" i="6"/>
  <c r="C68" i="6"/>
  <c r="C157" i="6"/>
  <c r="C69" i="6"/>
  <c r="C161" i="6"/>
  <c r="C160" i="6"/>
  <c r="C70" i="6"/>
  <c r="C158" i="6"/>
  <c r="F128" i="6"/>
  <c r="G24" i="6"/>
  <c r="E43" i="6" s="1"/>
  <c r="D56" i="6" s="1"/>
  <c r="F56" i="6" s="1"/>
  <c r="E81" i="6" s="1"/>
  <c r="B108" i="6"/>
  <c r="G115" i="6" s="1"/>
  <c r="E134" i="6" s="1"/>
  <c r="D149" i="6" s="1"/>
  <c r="E119" i="6" l="1"/>
  <c r="F79" i="3"/>
  <c r="F27" i="3"/>
  <c r="F48" i="7"/>
  <c r="D4" i="41" s="1"/>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D4" i="29"/>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 i="16" l="1"/>
  <c r="D4" i="36"/>
  <c r="D4" i="33"/>
  <c r="D4" i="25"/>
  <c r="G10" i="25" s="1"/>
  <c r="D4" i="12"/>
  <c r="D4" i="27"/>
  <c r="D4" i="26"/>
  <c r="G9" i="26" s="1"/>
  <c r="D4" i="14"/>
  <c r="G9" i="14" s="1"/>
  <c r="D4" i="21"/>
  <c r="D4" i="40"/>
  <c r="D4" i="32"/>
  <c r="D4" i="20"/>
  <c r="G9" i="20" s="1"/>
  <c r="D4" i="39"/>
  <c r="D4" i="24"/>
  <c r="D4" i="19"/>
  <c r="G10" i="19" s="1"/>
  <c r="D4" i="31"/>
  <c r="G10" i="31" s="1"/>
  <c r="D4" i="38"/>
  <c r="G10" i="38" s="1"/>
  <c r="D4" i="28"/>
  <c r="D4" i="30"/>
  <c r="G9" i="30" s="1"/>
  <c r="D4" i="37"/>
  <c r="G12" i="37" s="1"/>
  <c r="D4" i="18"/>
  <c r="G9" i="18" s="1"/>
  <c r="D4" i="23"/>
  <c r="D4" i="35"/>
  <c r="G10" i="35" s="1"/>
  <c r="D4" i="42"/>
  <c r="G10" i="42" s="1"/>
  <c r="D4" i="22"/>
  <c r="G9" i="22" s="1"/>
  <c r="D4" i="34"/>
  <c r="G9" i="16"/>
  <c r="G11" i="16"/>
  <c r="G13" i="16"/>
  <c r="G10" i="16"/>
  <c r="G12" i="16"/>
  <c r="G14" i="16"/>
  <c r="G9" i="36"/>
  <c r="G11" i="36"/>
  <c r="G13" i="36"/>
  <c r="G10" i="36"/>
  <c r="G12" i="36"/>
  <c r="G14" i="36"/>
  <c r="G10" i="26"/>
  <c r="G12" i="26"/>
  <c r="G11" i="26"/>
  <c r="G13" i="26"/>
  <c r="G10" i="12"/>
  <c r="G12" i="12"/>
  <c r="G14" i="12"/>
  <c r="G9" i="12"/>
  <c r="G11" i="12"/>
  <c r="G13" i="12"/>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G9" i="29"/>
  <c r="G11" i="29"/>
  <c r="G13" i="29"/>
  <c r="G10" i="29"/>
  <c r="G12" i="29"/>
  <c r="G14" i="29"/>
  <c r="G9" i="24"/>
  <c r="G11" i="24"/>
  <c r="G13" i="24"/>
  <c r="G10" i="24"/>
  <c r="G12" i="24"/>
  <c r="G14" i="24"/>
  <c r="G9" i="19"/>
  <c r="G13" i="19"/>
  <c r="G9" i="38"/>
  <c r="G13" i="38"/>
  <c r="G12" i="38"/>
  <c r="G10" i="28"/>
  <c r="G12" i="28"/>
  <c r="G14" i="28"/>
  <c r="G9" i="28"/>
  <c r="G11" i="28"/>
  <c r="G13" i="28"/>
  <c r="G10" i="30"/>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9" i="25"/>
  <c r="G11" i="25"/>
  <c r="G9" i="40"/>
  <c r="G11" i="40"/>
  <c r="G13" i="40"/>
  <c r="G10" i="40"/>
  <c r="G12" i="40"/>
  <c r="G14" i="40"/>
  <c r="G10" i="39"/>
  <c r="G12" i="39"/>
  <c r="G14" i="39"/>
  <c r="G9" i="39"/>
  <c r="G11" i="39"/>
  <c r="G13" i="39"/>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9" i="27"/>
  <c r="G11" i="27"/>
  <c r="G13" i="27"/>
  <c r="G10" i="27"/>
  <c r="G12" i="27"/>
  <c r="G14" i="27"/>
  <c r="G9" i="21"/>
  <c r="G11" i="21"/>
  <c r="G13" i="21"/>
  <c r="G10" i="21"/>
  <c r="G12" i="21"/>
  <c r="G14" i="21"/>
  <c r="G9" i="33"/>
  <c r="G11" i="33"/>
  <c r="G13" i="33"/>
  <c r="G10" i="33"/>
  <c r="G12" i="33"/>
  <c r="G14" i="33"/>
  <c r="G10" i="32"/>
  <c r="G12" i="32"/>
  <c r="G14" i="32"/>
  <c r="G9" i="32"/>
  <c r="G11" i="32"/>
  <c r="G13" i="32"/>
  <c r="H10" i="25"/>
  <c r="H12" i="25"/>
  <c r="H14" i="25"/>
  <c r="H9" i="25"/>
  <c r="H11" i="25"/>
  <c r="H13" i="25"/>
  <c r="H9" i="33"/>
  <c r="H11" i="33"/>
  <c r="H13" i="33"/>
  <c r="H10" i="33"/>
  <c r="H12" i="33"/>
  <c r="H14" i="33"/>
  <c r="G10" i="18"/>
  <c r="G14" i="18"/>
  <c r="G11" i="18"/>
  <c r="G9" i="23"/>
  <c r="G11" i="23"/>
  <c r="G13" i="23"/>
  <c r="G10" i="23"/>
  <c r="G12" i="23"/>
  <c r="G14" i="23"/>
  <c r="G9" i="35"/>
  <c r="G13" i="35"/>
  <c r="G12" i="35"/>
  <c r="G13" i="42"/>
  <c r="G10" i="22"/>
  <c r="G14" i="22"/>
  <c r="G11" i="22"/>
  <c r="G10" i="34"/>
  <c r="G12" i="34"/>
  <c r="G14" i="34"/>
  <c r="G9" i="34"/>
  <c r="G11" i="34"/>
  <c r="G13" i="34"/>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U160" i="6"/>
  <c r="R160" i="6"/>
  <c r="L160" i="6"/>
  <c r="O160" i="6"/>
  <c r="T160" i="6"/>
  <c r="K70" i="6"/>
  <c r="O70" i="6"/>
  <c r="L70" i="6"/>
  <c r="P70" i="6"/>
  <c r="T70" i="6"/>
  <c r="Q70" i="6"/>
  <c r="U70" i="6"/>
  <c r="N70" i="6"/>
  <c r="V70" i="6"/>
  <c r="P66" i="6"/>
  <c r="Q157" i="6"/>
  <c r="P157" i="6"/>
  <c r="T157" i="6"/>
  <c r="G14" i="25" l="1"/>
  <c r="G12" i="25"/>
  <c r="G13" i="14"/>
  <c r="G13" i="25"/>
  <c r="G11" i="37"/>
  <c r="G12" i="14"/>
  <c r="G14" i="20"/>
  <c r="G14" i="30"/>
  <c r="G12" i="19"/>
  <c r="G14" i="14"/>
  <c r="G14" i="26"/>
  <c r="G10" i="37"/>
  <c r="G11" i="14"/>
  <c r="G10" i="14"/>
  <c r="G11" i="30"/>
  <c r="G13" i="31"/>
  <c r="G14" i="42"/>
  <c r="G11" i="42"/>
  <c r="G13" i="20"/>
  <c r="G12" i="20"/>
  <c r="G9" i="37"/>
  <c r="G14" i="31"/>
  <c r="G11" i="31"/>
  <c r="G14" i="37"/>
  <c r="G12" i="31"/>
  <c r="G9" i="31"/>
  <c r="G12" i="42"/>
  <c r="G9" i="42"/>
  <c r="G11" i="20"/>
  <c r="G10" i="20"/>
  <c r="G13" i="37"/>
  <c r="G34" i="3"/>
  <c r="E44" i="3" s="1"/>
  <c r="H44" i="3" s="1"/>
  <c r="D113" i="3" s="1"/>
  <c r="G13" i="22"/>
  <c r="G12" i="22"/>
  <c r="G14" i="35"/>
  <c r="G11" i="35"/>
  <c r="G13" i="18"/>
  <c r="G12" i="18"/>
  <c r="G13" i="30"/>
  <c r="G12" i="30"/>
  <c r="G14" i="38"/>
  <c r="G11" i="38"/>
  <c r="G14" i="19"/>
  <c r="G11" i="19"/>
  <c r="G33" i="3"/>
  <c r="E43" i="3" s="1"/>
  <c r="H43" i="3" s="1"/>
  <c r="D112" i="3" s="1"/>
  <c r="G37" i="3"/>
  <c r="E47" i="3" s="1"/>
  <c r="H47" i="3" s="1"/>
  <c r="G36" i="3"/>
  <c r="E46" i="3" s="1"/>
  <c r="H46" i="3" s="1"/>
  <c r="G35" i="3"/>
  <c r="E45" i="3" s="1"/>
  <c r="H45" i="3" s="1"/>
  <c r="G89" i="3"/>
  <c r="E106" i="3" s="1"/>
  <c r="H106" i="3" s="1"/>
  <c r="G88" i="3"/>
  <c r="E105" i="3" s="1"/>
  <c r="H105" i="3" s="1"/>
  <c r="G86" i="3"/>
  <c r="E103" i="3" s="1"/>
  <c r="H103" i="3" s="1"/>
  <c r="E112" i="3" s="1"/>
  <c r="F112" i="3" s="1"/>
  <c r="G112" i="3" s="1"/>
  <c r="G90" i="3"/>
  <c r="E107" i="3" s="1"/>
  <c r="H107" i="3" s="1"/>
  <c r="G87" i="3"/>
  <c r="E104" i="3" s="1"/>
  <c r="H104" i="3" s="1"/>
  <c r="E113" i="3" s="1"/>
  <c r="L66" i="6"/>
  <c r="P160" i="6"/>
  <c r="S160" i="6"/>
  <c r="F160" i="6" s="1"/>
  <c r="C175" i="6" s="1"/>
  <c r="G175" i="6" s="1"/>
  <c r="D184" i="6" s="1"/>
  <c r="K160" i="6"/>
  <c r="V160" i="6"/>
  <c r="N160" i="6"/>
  <c r="N67" i="6"/>
  <c r="R67" i="6"/>
  <c r="Q67" i="6"/>
  <c r="F67" i="6" s="1"/>
  <c r="C82" i="6" s="1"/>
  <c r="G82" i="6" s="1"/>
  <c r="C182" i="6" s="1"/>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F161" i="6" s="1"/>
  <c r="C176" i="6" s="1"/>
  <c r="G176" i="6" s="1"/>
  <c r="D185" i="6" s="1"/>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F113" i="3" l="1"/>
  <c r="G113" i="3" s="1"/>
  <c r="E185" i="6"/>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2" i="6"/>
  <c r="F182"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<sst xmlns="http://schemas.openxmlformats.org/spreadsheetml/2006/main" count="1225" uniqueCount="432">
  <si>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</si>
  <si>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</si>
  <si>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</si>
  <si>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</si>
  <si>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</si>
  <si>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</si>
  <si>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</si>
  <si>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</si>
  <si>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</si>
  <si>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</si>
  <si>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</si>
  <si>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</si>
  <si>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</si>
  <si>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</si>
  <si>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</si>
  <si>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</si>
  <si>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</si>
  <si>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</si>
  <si>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</si>
  <si>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</si>
  <si>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</si>
  <si>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</si>
  <si>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</si>
  <si>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</si>
  <si>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</si>
  <si>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</si>
  <si>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</si>
  <si>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</si>
  <si>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</si>
  <si>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</si>
  <si>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</si>
  <si>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</si>
  <si>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</si>
  <si>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</si>
  <si>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</si>
  <si>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</si>
  <si>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</si>
  <si>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</si>
  <si>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</si>
  <si>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</si>
  <si>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</si>
  <si>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</si>
  <si>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</si>
  <si>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</si>
  <si>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</si>
  <si>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</si>
  <si>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</si>
  <si>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</si>
  <si>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</si>
  <si>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</si>
  <si>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</si>
  <si>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</si>
  <si>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</si>
  <si>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</si>
  <si>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</si>
  <si>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</si>
  <si>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</si>
  <si>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</si>
  <si>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</si>
  <si>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</si>
  <si>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</si>
  <si>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</si>
  <si>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</si>
  <si>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</si>
  <si>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</si>
  <si>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</si>
  <si>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</si>
  <si>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</si>
  <si>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</si>
  <si>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</si>
  <si>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</si>
  <si>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</si>
  <si>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</si>
  <si>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</si>
  <si>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</si>
  <si>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</si>
  <si>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</si>
  <si>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</si>
  <si>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</si>
  <si>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</si>
  <si>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</si>
  <si>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</si>
  <si>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</si>
  <si>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</si>
  <si>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</si>
  <si>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</si>
  <si>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</si>
  <si>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</si>
  <si>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</si>
  <si>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</si>
  <si>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</si>
  <si>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</si>
  <si>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</si>
  <si>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</si>
  <si>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</si>
  <si>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</si>
  <si>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</si>
  <si>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</si>
  <si>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</si>
  <si>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</si>
  <si>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</si>
  <si>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</si>
  <si>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</si>
  <si>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</si>
  <si>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</si>
  <si>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</si>
  <si>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</si>
  <si>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</si>
  <si>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</si>
  <si>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</si>
  <si>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</si>
  <si>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</si>
  <si>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</si>
  <si>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</si>
  <si>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</si>
  <si>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</si>
  <si>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</si>
  <si>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</si>
  <si>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</si>
  <si>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</si>
  <si>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</si>
  <si>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</si>
  <si>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</si>
  <si>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</si>
  <si>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</si>
  <si>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</si>
  <si>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</si>
  <si>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</si>
  <si>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</si>
  <si>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</si>
  <si>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</si>
  <si>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</si>
  <si>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</si>
  <si>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</si>
  <si>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</si>
  <si>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</si>
  <si>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</si>
  <si>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</si>
  <si>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</si>
  <si>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</si>
  <si>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</si>
  <si>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</si>
  <si>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</si>
  <si>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</si>
  <si>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</si>
  <si>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</si>
  <si>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</si>
  <si>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</si>
  <si>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</si>
  <si>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</si>
  <si>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</si>
  <si>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</si>
  <si>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</si>
  <si>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</si>
  <si>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</si>
  <si>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</si>
  <si>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</si>
  <si>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</si>
  <si>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</si>
  <si>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</si>
  <si>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</si>
  <si>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</si>
  <si>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</si>
  <si>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</si>
  <si>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</si>
  <si>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</si>
  <si>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</si>
  <si>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</si>
  <si>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</si>
  <si>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</si>
  <si>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</si>
  <si>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</si>
  <si>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</si>
  <si>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</si>
  <si>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</si>
  <si>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</si>
  <si>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</si>
  <si>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</si>
  <si>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</si>
  <si>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</si>
  <si>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</si>
  <si>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</si>
  <si>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</si>
  <si>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</si>
  <si>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</si>
  <si>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</si>
  <si>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</si>
  <si>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</si>
  <si>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</si>
  <si>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</si>
  <si>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</si>
  <si>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</si>
  <si>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</si>
  <si>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</si>
  <si>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</si>
  <si>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</si>
  <si>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</si>
  <si>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</si>
  <si>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</si>
  <si>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</si>
  <si>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</si>
  <si>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</si>
  <si>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</si>
  <si>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</si>
  <si>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</si>
  <si>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</si>
  <si>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</si>
  <si>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</si>
  <si>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</si>
  <si>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</si>
  <si>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</si>
  <si>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</si>
  <si>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</si>
  <si>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</si>
  <si>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</si>
  <si>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</si>
  <si>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</si>
  <si>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</si>
  <si>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</si>
  <si>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</si>
  <si>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</si>
  <si>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</si>
  <si>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</si>
  <si>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</si>
  <si>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</si>
  <si>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</si>
  <si>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</si>
  <si>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</si>
  <si>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</si>
  <si>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</si>
  <si>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</si>
  <si>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</si>
  <si>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</si>
  <si>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</si>
  <si>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</si>
  <si>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</si>
  <si>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</si>
  <si>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</si>
  <si>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</si>
  <si>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</si>
  <si>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</si>
  <si>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</si>
  <si>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</si>
  <si>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</si>
  <si>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</si>
  <si>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</si>
  <si>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</si>
  <si>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</si>
  <si>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</si>
  <si>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</si>
  <si>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</si>
  <si>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</si>
  <si>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</si>
  <si>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</si>
  <si>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</si>
  <si>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</si>
  <si>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</si>
  <si>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</si>
  <si>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</si>
  <si>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</si>
  <si>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</si>
  <si>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</si>
  <si>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</si>
  <si>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</si>
  <si>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</si>
  <si>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</si>
  <si>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</si>
  <si>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</si>
  <si>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</si>
  <si>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</si>
  <si>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</si>
  <si>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</si>
  <si>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</si>
  <si>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</si>
  <si>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</si>
  <si>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</si>
  <si>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</si>
  <si>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</si>
  <si>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</si>
  <si>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</si>
  <si>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</si>
  <si>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</si>
  <si>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</si>
  <si>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</si>
  <si>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</si>
  <si>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</si>
  <si>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</si>
  <si>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</si>
  <si>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</si>
  <si>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</si>
  <si>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</si>
  <si>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</si>
  <si>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</si>
  <si>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</si>
  <si>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</si>
  <si>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</si>
  <si>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</si>
  <si>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</si>
  <si>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</si>
  <si>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</si>
  <si>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</si>
  <si>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</si>
  <si>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</si>
  <si>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</si>
  <si>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</si>
  <si>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</si>
  <si>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</si>
  <si>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</si>
  <si>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</si>
  <si>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</si>
  <si>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</si>
  <si>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</si>
  <si>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</si>
  <si>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</si>
  <si>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</si>
  <si>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</si>
  <si>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</si>
  <si>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</si>
  <si>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</si>
  <si>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</si>
  <si>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</si>
  <si>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</si>
  <si>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</si>
  <si>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</si>
  <si>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</si>
  <si>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</si>
  <si>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</si>
  <si>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</si>
  <si>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</si>
  <si>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</si>
  <si>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</si>
  <si>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</si>
  <si>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</si>
  <si>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</si>
  <si>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</si>
  <si>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</si>
  <si>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</si>
  <si>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</si>
  <si>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</si>
  <si>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</si>
  <si>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</si>
  <si>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</si>
  <si>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</si>
  <si>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</si>
  <si>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</si>
  <si>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</si>
  <si>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</si>
  <si>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</si>
  <si>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</si>
  <si>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</si>
  <si>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</si>
  <si>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</si>
  <si>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</si>
  <si>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</si>
  <si>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</si>
  <si>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</si>
  <si>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</si>
  <si>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</si>
  <si>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</si>
  <si>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</si>
  <si>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</si>
  <si>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</si>
  <si>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</si>
  <si>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</si>
  <si>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</si>
  <si>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</si>
  <si>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</si>
  <si>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</si>
  <si>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</si>
  <si>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</si>
  <si>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</si>
  <si>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</si>
  <si>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</si>
  <si>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</si>
  <si>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</si>
  <si>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</si>
  <si>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</si>
  <si>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</si>
  <si>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</si>
  <si>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</si>
  <si>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</si>
  <si>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</si>
  <si>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</si>
  <si>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</si>
  <si>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</si>
  <si>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</si>
  <si>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</si>
  <si>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</si>
  <si>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</si>
  <si>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</si>
  <si>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</si>
  <si>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</si>
  <si>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</si>
  <si>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</si>
  <si>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</si>
  <si>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</si>
  <si>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</si>
  <si>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</si>
  <si>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</si>
  <si>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</si>
  <si>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</si>
  <si>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</si>
  <si>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</si>
  <si>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</si>
  <si>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</si>
  <si>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</si>
  <si>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</si>
  <si>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</si>
  <si>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</si>
  <si>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</si>
  <si>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</si>
  <si>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</si>
  <si>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</si>
  <si>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</si>
  <si>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</si>
  <si>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</si>
  <si>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</si>
  <si>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</si>
  <si>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Lexington County I-20 Widening - Outfall #1</t>
  </si>
  <si>
    <t>The widening will take place from S.C. Route 378 to Longs Pond Road which is approximately 14 miles. The existing watersheds along the interstate are primarily developed areas along with large wooded areas. The total drainage area to Outfall #1 is approximately 44 acres. The existing watershed includes commercial areas, parking areas and large grassed areas adjacent to U.S. Route 20. The soils in the watershed are classified as Hydrologic Soil Group C so as to be conservative with design.</t>
  </si>
  <si>
    <t>I-20 Widening</t>
  </si>
  <si>
    <t>Runoff from the existing watershed sheet flows to an undeveloped area along U.S. Route 20 and flows overland, along more developed areas, across the interstate to a small ditch.</t>
  </si>
  <si>
    <t>The increased flows are a result of the proposed addition of pavement and will drain to Outfall #1. However the drainage area remains approximately the same.</t>
  </si>
  <si>
    <t xml:space="preserve">The proposed construction within the watershed includes pavement addition and drainage reconstruction. The proposed construction results in an increase in impervious area as a result of the addition of traffic lanes on I-20 and drains to Outfall #1. </t>
  </si>
  <si>
    <t>Outfall #16 [Rt.] Sta.527+70 (I-20)</t>
  </si>
  <si>
    <t>[Outfall ditch]</t>
  </si>
  <si>
    <t>The widening will take place from U.S. Route 378 to Longs Pond Road which is approximately 14 miles. The existing watersheds along the interstate are primarily developed areas along with large wooded areas. The total drainage area to Outfall #16 is approximately 21 acres. The existing watershed includes commercial areas, parking areas and large grassed areas adjacent to I-20.</t>
  </si>
  <si>
    <t>Runoff from the existing watershed flows overland to a crossing at approx. Sta. 527+70 along I-20 and discharges into an outfall ditch off I-20</t>
  </si>
  <si>
    <t xml:space="preserve">The proposed construction within the watershed includes pavement addition. The proposed construction results in an increase in impervious area as a result of the addition of traffic lanes on I-20 and drains to Outfall #16. </t>
  </si>
  <si>
    <t>8/31/2015</t>
  </si>
  <si>
    <t>Sta. 527+70</t>
  </si>
  <si>
    <t xml:space="preserve">The additional 1.87 cfs runoff for the 10-year design storm will be collected by an outfall ditch at approx. Sta. 527+70 off I-20.  The additional pavement will have no significant adverse effect downstream of the outfall.  No additional detention is necessary in this area.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</si>
</sst>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6">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6458752"/>
        <c:axId val="177968256"/>
      </c:scatterChart>
      <c:valAx>
        <c:axId val="17645875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7968256"/>
        <c:crosses val="autoZero"/>
        <c:crossBetween val="midCat"/>
      </c:valAx>
      <c:valAx>
        <c:axId val="17796825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645875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8161920"/>
        <c:axId val="178180480"/>
      </c:scatterChart>
      <c:valAx>
        <c:axId val="17816192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180480"/>
        <c:crosses val="autoZero"/>
        <c:crossBetween val="midCat"/>
      </c:valAx>
      <c:valAx>
        <c:axId val="17818048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16192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89031168"/>
        <c:axId val="189033088"/>
      </c:scatterChart>
      <c:valAx>
        <c:axId val="18903116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9033088"/>
        <c:crosses val="autoZero"/>
        <c:crossBetween val="midCat"/>
      </c:valAx>
      <c:valAx>
        <c:axId val="18903308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903116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89554688"/>
        <c:axId val="189556608"/>
      </c:scatterChart>
      <c:valAx>
        <c:axId val="18955468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9556608"/>
        <c:crosses val="autoZero"/>
        <c:crossBetween val="midCat"/>
      </c:valAx>
      <c:valAx>
        <c:axId val="18955660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955468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142</v>
      </c>
      <c r="B1" t="s">
        <v>141</v>
      </c>
      <c r="K1" t="s">
        <v>414</v>
      </c>
    </row>
    <row r="2" spans="1:11" x14ac:dyDescent="0.25">
      <c r="A2" s="3" t="s">
        <v>143</v>
      </c>
      <c r="K2" t="s">
        <v>415</v>
      </c>
    </row>
    <row r="3" spans="1:11" x14ac:dyDescent="0.25">
      <c r="A3" s="3" t="s">
        <v>144</v>
      </c>
    </row>
    <row r="4" spans="1:11" x14ac:dyDescent="0.25">
      <c r="A4" s="3" t="s">
        <v>145</v>
      </c>
    </row>
    <row r="5" spans="1:11" x14ac:dyDescent="0.25">
      <c r="A5" s="3" t="s">
        <v>146</v>
      </c>
    </row>
    <row r="6" spans="1:11" x14ac:dyDescent="0.25">
      <c r="A6" s="3" t="s">
        <v>147</v>
      </c>
    </row>
    <row r="7" spans="1:11" x14ac:dyDescent="0.25">
      <c r="A7" s="3" t="s">
        <v>148</v>
      </c>
    </row>
    <row r="8" spans="1:11" x14ac:dyDescent="0.25">
      <c r="A8" s="3" t="s">
        <v>149</v>
      </c>
    </row>
    <row r="9" spans="1:11" x14ac:dyDescent="0.25">
      <c r="A9" s="3" t="s">
        <v>150</v>
      </c>
    </row>
    <row r="10" spans="1:11" x14ac:dyDescent="0.25">
      <c r="A10" s="3" t="s">
        <v>151</v>
      </c>
    </row>
    <row r="11" spans="1:11" x14ac:dyDescent="0.25">
      <c r="A11" s="3" t="s">
        <v>152</v>
      </c>
    </row>
    <row r="12" spans="1:11" x14ac:dyDescent="0.25">
      <c r="A12" s="3" t="s">
        <v>153</v>
      </c>
    </row>
    <row r="13" spans="1:11" x14ac:dyDescent="0.25">
      <c r="A13" s="3" t="s">
        <v>154</v>
      </c>
    </row>
    <row r="14" spans="1:11" x14ac:dyDescent="0.25">
      <c r="A14" s="3" t="s">
        <v>155</v>
      </c>
    </row>
    <row r="15" spans="1:11" x14ac:dyDescent="0.25">
      <c r="A15" s="3" t="s">
        <v>156</v>
      </c>
    </row>
    <row r="16" spans="1:11" x14ac:dyDescent="0.25">
      <c r="A16" s="3" t="s">
        <v>157</v>
      </c>
    </row>
    <row r="17" spans="1:1" x14ac:dyDescent="0.25">
      <c r="A17" s="3" t="s">
        <v>158</v>
      </c>
    </row>
    <row r="18" spans="1:1" x14ac:dyDescent="0.25">
      <c r="A18" s="3" t="s">
        <v>159</v>
      </c>
    </row>
    <row r="19" spans="1:1" x14ac:dyDescent="0.25">
      <c r="A19" s="3" t="s">
        <v>160</v>
      </c>
    </row>
    <row r="20" spans="1:1" x14ac:dyDescent="0.25">
      <c r="A20" s="3" t="s">
        <v>161</v>
      </c>
    </row>
    <row r="21" spans="1:1" x14ac:dyDescent="0.25">
      <c r="A21" s="3" t="s">
        <v>162</v>
      </c>
    </row>
    <row r="22" spans="1:1" x14ac:dyDescent="0.25">
      <c r="A22" s="3" t="s">
        <v>163</v>
      </c>
    </row>
    <row r="23" spans="1:1" x14ac:dyDescent="0.25">
      <c r="A23" s="3" t="s">
        <v>164</v>
      </c>
    </row>
    <row r="24" spans="1:1" x14ac:dyDescent="0.25">
      <c r="A24" s="3" t="s">
        <v>165</v>
      </c>
    </row>
    <row r="25" spans="1:1" x14ac:dyDescent="0.25">
      <c r="A25" s="3" t="s">
        <v>173</v>
      </c>
    </row>
    <row r="26" spans="1:1" x14ac:dyDescent="0.25">
      <c r="A26" s="3" t="s">
        <v>166</v>
      </c>
    </row>
    <row r="27" spans="1:1" x14ac:dyDescent="0.25">
      <c r="A27" s="3" t="s">
        <v>167</v>
      </c>
    </row>
    <row r="28" spans="1:1" x14ac:dyDescent="0.25">
      <c r="A28" s="3" t="s">
        <v>168</v>
      </c>
    </row>
    <row r="29" spans="1:1" x14ac:dyDescent="0.25">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2.1632411396852991</v>
      </c>
      <c r="H9" s="9">
        <f t="shared" ref="H9:H14" si="1">B9/(C9+$D$5)^D9</f>
        <v>2.1632411396852991</v>
      </c>
      <c r="J9" s="29"/>
      <c r="K9" s="29"/>
      <c r="L9" s="30"/>
    </row>
    <row r="10" spans="1:12" x14ac:dyDescent="0.25">
      <c r="A10" s="31">
        <v>5</v>
      </c>
      <c r="B10" s="34">
        <v>261.13655</v>
      </c>
      <c r="C10" s="30">
        <v>32.358699999999999</v>
      </c>
      <c r="D10" s="30">
        <v>1.01519</v>
      </c>
      <c r="E10" s="29"/>
      <c r="F10" s="29"/>
      <c r="G10" s="9">
        <f t="shared" si="0"/>
        <v>2.4336388759437728</v>
      </c>
      <c r="H10" s="9">
        <f t="shared" si="1"/>
        <v>2.4336388759437728</v>
      </c>
      <c r="J10" s="29"/>
      <c r="K10" s="29"/>
      <c r="L10" s="30"/>
    </row>
    <row r="11" spans="1:12" x14ac:dyDescent="0.25">
      <c r="A11" s="31">
        <v>10</v>
      </c>
      <c r="B11" s="34">
        <v>269.52906000000002</v>
      </c>
      <c r="C11" s="30">
        <v>31.104620000000001</v>
      </c>
      <c r="D11" s="30">
        <v>1.0071399999999999</v>
      </c>
      <c r="E11" s="29"/>
      <c r="F11" s="29"/>
      <c r="G11" s="35">
        <f t="shared" si="0"/>
        <v>2.6400549190049425</v>
      </c>
      <c r="H11" s="118">
        <f t="shared" si="1"/>
        <v>2.6400549190049425</v>
      </c>
      <c r="J11" s="29"/>
      <c r="K11" s="29"/>
      <c r="L11" s="30"/>
    </row>
    <row r="12" spans="1:12" x14ac:dyDescent="0.25">
      <c r="A12" s="31">
        <v>25</v>
      </c>
      <c r="B12" s="34">
        <v>281.11392999999998</v>
      </c>
      <c r="C12" s="30">
        <v>29.392219999999998</v>
      </c>
      <c r="D12" s="30">
        <v>0.99607000000000001</v>
      </c>
      <c r="E12" s="29"/>
      <c r="F12" s="29"/>
      <c r="G12" s="9">
        <f t="shared" si="0"/>
        <v>2.948051546682684</v>
      </c>
      <c r="H12" s="9">
        <f t="shared" si="1"/>
        <v>2.948051546682684</v>
      </c>
      <c r="J12" s="29"/>
      <c r="K12" s="29"/>
      <c r="L12" s="30"/>
    </row>
    <row r="13" spans="1:12" x14ac:dyDescent="0.25">
      <c r="A13" s="31">
        <v>50</v>
      </c>
      <c r="B13" s="34">
        <v>289.29525999999998</v>
      </c>
      <c r="C13" s="30">
        <v>28.173349999999999</v>
      </c>
      <c r="D13" s="30">
        <v>0.98823000000000005</v>
      </c>
      <c r="E13" s="29"/>
      <c r="F13" s="29"/>
      <c r="G13" s="9">
        <f t="shared" si="0"/>
        <v>3.1841655010501659</v>
      </c>
      <c r="H13" s="9">
        <f t="shared" si="1"/>
        <v>3.1841655010501659</v>
      </c>
    </row>
    <row r="14" spans="1:12" x14ac:dyDescent="0.25">
      <c r="A14" s="31">
        <v>100</v>
      </c>
      <c r="B14" s="34">
        <v>296.80041999999997</v>
      </c>
      <c r="C14" s="30">
        <v>27.025970000000001</v>
      </c>
      <c r="D14" s="30">
        <v>0.98097000000000001</v>
      </c>
      <c r="E14" s="29"/>
      <c r="F14" s="29"/>
      <c r="G14" s="9">
        <f t="shared" si="0"/>
        <v>3.4169247819377433</v>
      </c>
      <c r="H14" s="9">
        <f t="shared" si="1"/>
        <v>3.4169247819377433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2.0381223957195367</v>
      </c>
      <c r="H9" s="9">
        <f t="shared" ref="H9:H14" si="1">B9/(C9+$D$5)^D9</f>
        <v>2.0381223957195367</v>
      </c>
      <c r="J9" s="29"/>
      <c r="K9" s="29"/>
      <c r="L9" s="30"/>
    </row>
    <row r="10" spans="1:12" x14ac:dyDescent="0.25">
      <c r="A10" s="31">
        <v>5</v>
      </c>
      <c r="B10" s="34">
        <v>257.07785999999999</v>
      </c>
      <c r="C10" s="30">
        <v>32.97428</v>
      </c>
      <c r="D10" s="30">
        <v>1.01911</v>
      </c>
      <c r="E10" s="29"/>
      <c r="F10" s="29"/>
      <c r="G10" s="9">
        <f t="shared" si="0"/>
        <v>2.3382853473174232</v>
      </c>
      <c r="H10" s="9">
        <f t="shared" si="1"/>
        <v>2.3382853473174232</v>
      </c>
      <c r="J10" s="29"/>
      <c r="K10" s="29"/>
      <c r="L10" s="30"/>
    </row>
    <row r="11" spans="1:12" x14ac:dyDescent="0.25">
      <c r="A11" s="31">
        <v>10</v>
      </c>
      <c r="B11" s="34">
        <v>266.55779000000001</v>
      </c>
      <c r="C11" s="30">
        <v>31.546500000000002</v>
      </c>
      <c r="D11" s="30">
        <v>1.0099800000000001</v>
      </c>
      <c r="E11" s="29"/>
      <c r="F11" s="29"/>
      <c r="G11" s="35">
        <f t="shared" si="0"/>
        <v>2.5655249512570832</v>
      </c>
      <c r="H11" s="118">
        <f t="shared" si="1"/>
        <v>2.5655249512570832</v>
      </c>
      <c r="J11" s="29"/>
      <c r="K11" s="29"/>
      <c r="L11" s="30"/>
    </row>
    <row r="12" spans="1:12" x14ac:dyDescent="0.25">
      <c r="A12" s="31">
        <v>25</v>
      </c>
      <c r="B12" s="34">
        <v>278.96244000000002</v>
      </c>
      <c r="C12" s="30">
        <v>29.710239999999999</v>
      </c>
      <c r="D12" s="30">
        <v>0.99812999999999996</v>
      </c>
      <c r="E12" s="29"/>
      <c r="F12" s="29"/>
      <c r="G12" s="9">
        <f t="shared" si="0"/>
        <v>2.8885991550547225</v>
      </c>
      <c r="H12" s="9">
        <f t="shared" si="1"/>
        <v>2.8885991550547225</v>
      </c>
      <c r="J12" s="29"/>
      <c r="K12" s="29"/>
      <c r="L12" s="30"/>
    </row>
    <row r="13" spans="1:12" x14ac:dyDescent="0.25">
      <c r="A13" s="31">
        <v>50</v>
      </c>
      <c r="B13" s="34">
        <v>287.88720999999998</v>
      </c>
      <c r="C13" s="30">
        <v>28.385120000000001</v>
      </c>
      <c r="D13" s="30">
        <v>0.98958999999999997</v>
      </c>
      <c r="E13" s="29"/>
      <c r="F13" s="29"/>
      <c r="G13" s="9">
        <f t="shared" si="0"/>
        <v>3.1421961671766461</v>
      </c>
      <c r="H13" s="9">
        <f t="shared" si="1"/>
        <v>3.1421961671766461</v>
      </c>
    </row>
    <row r="14" spans="1:12" x14ac:dyDescent="0.25">
      <c r="A14" s="31">
        <v>100</v>
      </c>
      <c r="B14" s="34">
        <v>295.79777999999999</v>
      </c>
      <c r="C14" s="30">
        <v>27.182759999999998</v>
      </c>
      <c r="D14" s="30">
        <v>0.98194999999999999</v>
      </c>
      <c r="E14" s="29"/>
      <c r="F14" s="29"/>
      <c r="G14" s="9">
        <f t="shared" si="0"/>
        <v>3.38472645738281</v>
      </c>
      <c r="H14" s="9">
        <f t="shared" si="1"/>
        <v>3.38472645738281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2.2226359813420098</v>
      </c>
      <c r="H9" s="9">
        <f t="shared" ref="H9:H14" si="1">B9/(C9+$D$5)^D9</f>
        <v>2.2226359813420098</v>
      </c>
      <c r="J9" s="29"/>
      <c r="K9" s="29"/>
      <c r="L9" s="30"/>
    </row>
    <row r="10" spans="1:12" x14ac:dyDescent="0.25">
      <c r="A10" s="31">
        <v>5</v>
      </c>
      <c r="B10" s="34">
        <v>262.87945999999999</v>
      </c>
      <c r="C10" s="30">
        <v>32.09639</v>
      </c>
      <c r="D10" s="30">
        <v>1.0135099999999999</v>
      </c>
      <c r="E10" s="29"/>
      <c r="F10" s="29"/>
      <c r="G10" s="9">
        <f t="shared" si="0"/>
        <v>2.4754890348217455</v>
      </c>
      <c r="H10" s="9">
        <f t="shared" si="1"/>
        <v>2.4754890348217455</v>
      </c>
      <c r="J10" s="29"/>
      <c r="K10" s="29"/>
      <c r="L10" s="30"/>
    </row>
    <row r="11" spans="1:12" x14ac:dyDescent="0.25">
      <c r="A11" s="31">
        <v>10</v>
      </c>
      <c r="B11" s="34">
        <v>270.85088000000002</v>
      </c>
      <c r="C11" s="30">
        <v>30.90869</v>
      </c>
      <c r="D11" s="30">
        <v>1.00587</v>
      </c>
      <c r="E11" s="29"/>
      <c r="F11" s="29"/>
      <c r="G11" s="35">
        <f t="shared" si="0"/>
        <v>2.6738566829230277</v>
      </c>
      <c r="H11" s="118">
        <f t="shared" si="1"/>
        <v>2.6738566829230277</v>
      </c>
      <c r="J11" s="29"/>
      <c r="K11" s="29"/>
      <c r="L11" s="30"/>
    </row>
    <row r="12" spans="1:12" x14ac:dyDescent="0.25">
      <c r="A12" s="31">
        <v>25</v>
      </c>
      <c r="B12" s="34">
        <v>282.02145000000002</v>
      </c>
      <c r="C12" s="30">
        <v>29.25788</v>
      </c>
      <c r="D12" s="30">
        <v>0.99519999999999997</v>
      </c>
      <c r="E12" s="29"/>
      <c r="F12" s="29"/>
      <c r="G12" s="9">
        <f t="shared" si="0"/>
        <v>2.9734603096951169</v>
      </c>
      <c r="H12" s="9">
        <f t="shared" si="1"/>
        <v>2.9734603096951169</v>
      </c>
      <c r="J12" s="29"/>
      <c r="K12" s="29"/>
      <c r="L12" s="30"/>
    </row>
    <row r="13" spans="1:12" x14ac:dyDescent="0.25">
      <c r="A13" s="31">
        <v>50</v>
      </c>
      <c r="B13" s="34">
        <v>289.91899000000001</v>
      </c>
      <c r="C13" s="30">
        <v>28.07921</v>
      </c>
      <c r="D13" s="30">
        <v>0.98763000000000001</v>
      </c>
      <c r="E13" s="29"/>
      <c r="F13" s="29"/>
      <c r="G13" s="9">
        <f t="shared" si="0"/>
        <v>3.2028852636490694</v>
      </c>
      <c r="H13" s="9">
        <f t="shared" si="1"/>
        <v>3.2028852636490694</v>
      </c>
    </row>
    <row r="14" spans="1:12" x14ac:dyDescent="0.25">
      <c r="A14" s="31">
        <v>100</v>
      </c>
      <c r="B14" s="34">
        <v>297.13936999999999</v>
      </c>
      <c r="C14" s="30">
        <v>26.972190000000001</v>
      </c>
      <c r="D14" s="30">
        <v>0.98063999999999996</v>
      </c>
      <c r="E14" s="29"/>
      <c r="F14" s="29"/>
      <c r="G14" s="9">
        <f t="shared" si="0"/>
        <v>3.4278768386504219</v>
      </c>
      <c r="H14" s="9">
        <f t="shared" si="1"/>
        <v>3.4278768386504219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2.0959626940178531</v>
      </c>
      <c r="H9" s="9">
        <f t="shared" ref="H9:H14" si="1">B9/(C9+$D$5)^D9</f>
        <v>2.0959626940178531</v>
      </c>
      <c r="J9" s="29"/>
      <c r="K9" s="29"/>
      <c r="L9" s="30"/>
    </row>
    <row r="10" spans="1:12" x14ac:dyDescent="0.25">
      <c r="A10" s="31">
        <v>5</v>
      </c>
      <c r="B10" s="34">
        <v>261.15915999999999</v>
      </c>
      <c r="C10" s="30">
        <v>32.355730000000001</v>
      </c>
      <c r="D10" s="30">
        <v>1.0151699999999999</v>
      </c>
      <c r="E10" s="29"/>
      <c r="F10" s="29"/>
      <c r="G10" s="9">
        <f t="shared" si="0"/>
        <v>2.4341471418751013</v>
      </c>
      <c r="H10" s="9">
        <f t="shared" si="1"/>
        <v>2.4341471418751013</v>
      </c>
      <c r="J10" s="29"/>
      <c r="K10" s="29"/>
      <c r="L10" s="30"/>
    </row>
    <row r="11" spans="1:12" x14ac:dyDescent="0.25">
      <c r="A11" s="31">
        <v>10</v>
      </c>
      <c r="B11" s="34">
        <v>270.24815000000001</v>
      </c>
      <c r="C11" s="30">
        <v>30.998100000000001</v>
      </c>
      <c r="D11" s="30">
        <v>1.0064500000000001</v>
      </c>
      <c r="E11" s="29"/>
      <c r="F11" s="29"/>
      <c r="G11" s="35">
        <f t="shared" si="0"/>
        <v>2.6583856426698556</v>
      </c>
      <c r="H11" s="118">
        <f t="shared" si="1"/>
        <v>2.6583856426698556</v>
      </c>
      <c r="J11" s="29"/>
      <c r="K11" s="29"/>
      <c r="L11" s="30"/>
    </row>
    <row r="12" spans="1:12" x14ac:dyDescent="0.25">
      <c r="A12" s="31">
        <v>25</v>
      </c>
      <c r="B12" s="34">
        <v>281.57326999999998</v>
      </c>
      <c r="C12" s="30">
        <v>29.324300000000001</v>
      </c>
      <c r="D12" s="30">
        <v>0.99563000000000001</v>
      </c>
      <c r="E12" s="29"/>
      <c r="F12" s="29"/>
      <c r="G12" s="9">
        <f t="shared" si="0"/>
        <v>2.9608818921962632</v>
      </c>
      <c r="H12" s="9">
        <f t="shared" si="1"/>
        <v>2.9608818921962632</v>
      </c>
      <c r="J12" s="29"/>
      <c r="K12" s="29"/>
      <c r="L12" s="30"/>
    </row>
    <row r="13" spans="1:12" x14ac:dyDescent="0.25">
      <c r="A13" s="31">
        <v>50</v>
      </c>
      <c r="B13" s="34">
        <v>289.32177999999999</v>
      </c>
      <c r="C13" s="30">
        <v>28.169709999999998</v>
      </c>
      <c r="D13" s="30">
        <v>0.98821000000000003</v>
      </c>
      <c r="E13" s="29"/>
      <c r="F13" s="29"/>
      <c r="G13" s="9">
        <f t="shared" si="0"/>
        <v>3.1848675225409373</v>
      </c>
      <c r="H13" s="9">
        <f t="shared" si="1"/>
        <v>3.1848675225409373</v>
      </c>
    </row>
    <row r="14" spans="1:12" x14ac:dyDescent="0.25">
      <c r="A14" s="31">
        <v>100</v>
      </c>
      <c r="B14" s="34">
        <v>296.25407000000001</v>
      </c>
      <c r="C14" s="30">
        <v>27.111529999999998</v>
      </c>
      <c r="D14" s="30">
        <v>0.98150000000000004</v>
      </c>
      <c r="E14" s="29"/>
      <c r="F14" s="29"/>
      <c r="G14" s="9">
        <f t="shared" si="0"/>
        <v>3.3994045721893</v>
      </c>
      <c r="H14" s="9">
        <f t="shared" si="1"/>
        <v>3.3994045721893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2.1521068037481776</v>
      </c>
      <c r="H9" s="9">
        <f t="shared" ref="H9:H14" si="1">B9/(C9+$D$5)^D9</f>
        <v>2.1521068037481776</v>
      </c>
      <c r="J9" s="29"/>
      <c r="K9" s="29"/>
      <c r="L9" s="30"/>
    </row>
    <row r="10" spans="1:12" x14ac:dyDescent="0.25">
      <c r="A10" s="31">
        <v>5</v>
      </c>
      <c r="B10" s="34">
        <v>263.71406000000002</v>
      </c>
      <c r="C10" s="30">
        <v>31.971609999999998</v>
      </c>
      <c r="D10" s="30">
        <v>1.01271</v>
      </c>
      <c r="E10" s="29"/>
      <c r="F10" s="29"/>
      <c r="G10" s="9">
        <f t="shared" si="0"/>
        <v>2.4956702761118015</v>
      </c>
      <c r="H10" s="9">
        <f t="shared" si="1"/>
        <v>2.4956702761118015</v>
      </c>
      <c r="J10" s="29"/>
      <c r="K10" s="29"/>
      <c r="L10" s="30"/>
    </row>
    <row r="11" spans="1:12" x14ac:dyDescent="0.25">
      <c r="A11" s="31">
        <v>10</v>
      </c>
      <c r="B11" s="34">
        <v>272.73104999999998</v>
      </c>
      <c r="C11" s="30">
        <v>30.63053</v>
      </c>
      <c r="D11" s="30">
        <v>1.0040800000000001</v>
      </c>
      <c r="E11" s="29"/>
      <c r="F11" s="29"/>
      <c r="G11" s="35">
        <f t="shared" si="0"/>
        <v>2.7223465580353428</v>
      </c>
      <c r="H11" s="118">
        <f t="shared" si="1"/>
        <v>2.7223465580353428</v>
      </c>
      <c r="J11" s="29"/>
      <c r="K11" s="29"/>
      <c r="L11" s="30"/>
    </row>
    <row r="12" spans="1:12" x14ac:dyDescent="0.25">
      <c r="A12" s="31">
        <v>25</v>
      </c>
      <c r="B12" s="34">
        <v>284.08978999999999</v>
      </c>
      <c r="C12" s="30">
        <v>28.951280000000001</v>
      </c>
      <c r="D12" s="30">
        <v>0.99322999999999995</v>
      </c>
      <c r="E12" s="29"/>
      <c r="F12" s="29"/>
      <c r="G12" s="9">
        <f t="shared" si="0"/>
        <v>3.0319038232614774</v>
      </c>
      <c r="H12" s="9">
        <f t="shared" si="1"/>
        <v>3.0319038232614774</v>
      </c>
      <c r="J12" s="29"/>
      <c r="K12" s="29"/>
      <c r="L12" s="30"/>
    </row>
    <row r="13" spans="1:12" x14ac:dyDescent="0.25">
      <c r="A13" s="31">
        <v>50</v>
      </c>
      <c r="B13" s="34">
        <v>291.79401000000001</v>
      </c>
      <c r="C13" s="30">
        <v>27.79608</v>
      </c>
      <c r="D13" s="30">
        <v>0.98582999999999998</v>
      </c>
      <c r="E13" s="29"/>
      <c r="F13" s="29"/>
      <c r="G13" s="9">
        <f t="shared" si="0"/>
        <v>3.259679474155627</v>
      </c>
      <c r="H13" s="9">
        <f t="shared" si="1"/>
        <v>3.259679474155627</v>
      </c>
    </row>
    <row r="14" spans="1:12" x14ac:dyDescent="0.25">
      <c r="A14" s="31">
        <v>100</v>
      </c>
      <c r="B14" s="34">
        <v>298.59854000000001</v>
      </c>
      <c r="C14" s="30">
        <v>26.744620000000001</v>
      </c>
      <c r="D14" s="30">
        <v>0.97921000000000002</v>
      </c>
      <c r="E14" s="29"/>
      <c r="F14" s="29"/>
      <c r="G14" s="9">
        <f t="shared" si="0"/>
        <v>3.47537910723833</v>
      </c>
      <c r="H14" s="9">
        <f t="shared" si="1"/>
        <v>3.47537910723833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2.0567322064164268</v>
      </c>
      <c r="H9" s="9">
        <f t="shared" ref="H9:H14" si="1">B9/(C9+$D$5)^D9</f>
        <v>2.0567322064164268</v>
      </c>
      <c r="J9" s="29"/>
      <c r="K9" s="29"/>
      <c r="L9" s="30"/>
    </row>
    <row r="10" spans="1:12" x14ac:dyDescent="0.25">
      <c r="A10" s="31">
        <v>5</v>
      </c>
      <c r="B10" s="34">
        <v>258.50572</v>
      </c>
      <c r="C10" s="30">
        <v>32.756839999999997</v>
      </c>
      <c r="D10" s="30">
        <v>1.01773</v>
      </c>
      <c r="E10" s="29"/>
      <c r="F10" s="29"/>
      <c r="G10" s="9">
        <f t="shared" si="0"/>
        <v>2.3714976971867916</v>
      </c>
      <c r="H10" s="9">
        <f t="shared" si="1"/>
        <v>2.3714976971867916</v>
      </c>
      <c r="J10" s="29"/>
      <c r="K10" s="29"/>
      <c r="L10" s="30"/>
    </row>
    <row r="11" spans="1:12" x14ac:dyDescent="0.25">
      <c r="A11" s="31">
        <v>10</v>
      </c>
      <c r="B11" s="34">
        <v>267.54246999999998</v>
      </c>
      <c r="C11" s="30">
        <v>31.39986</v>
      </c>
      <c r="D11" s="30">
        <v>1.0090399999999999</v>
      </c>
      <c r="E11" s="29"/>
      <c r="F11" s="29"/>
      <c r="G11" s="35">
        <f t="shared" si="0"/>
        <v>2.5900162408279499</v>
      </c>
      <c r="H11" s="118">
        <f t="shared" si="1"/>
        <v>2.5900162408279499</v>
      </c>
      <c r="J11" s="29"/>
      <c r="K11" s="29"/>
      <c r="L11" s="30"/>
    </row>
    <row r="12" spans="1:12" x14ac:dyDescent="0.25">
      <c r="A12" s="31">
        <v>25</v>
      </c>
      <c r="B12" s="34">
        <v>279.77346</v>
      </c>
      <c r="C12" s="30">
        <v>29.590430000000001</v>
      </c>
      <c r="D12" s="30">
        <v>0.99734999999999996</v>
      </c>
      <c r="E12" s="29"/>
      <c r="F12" s="29"/>
      <c r="G12" s="9">
        <f t="shared" si="0"/>
        <v>2.9109333297841884</v>
      </c>
      <c r="H12" s="9">
        <f t="shared" si="1"/>
        <v>2.9109333297841884</v>
      </c>
      <c r="J12" s="29"/>
      <c r="K12" s="29"/>
      <c r="L12" s="30"/>
    </row>
    <row r="13" spans="1:12" x14ac:dyDescent="0.25">
      <c r="A13" s="31">
        <v>50</v>
      </c>
      <c r="B13" s="34">
        <v>288.71309000000002</v>
      </c>
      <c r="C13" s="30">
        <v>28.26125</v>
      </c>
      <c r="D13" s="30">
        <v>0.98878999999999995</v>
      </c>
      <c r="E13" s="29"/>
      <c r="F13" s="29"/>
      <c r="G13" s="9">
        <f t="shared" si="0"/>
        <v>3.1667771078028113</v>
      </c>
      <c r="H13" s="9">
        <f t="shared" si="1"/>
        <v>3.1667771078028113</v>
      </c>
    </row>
    <row r="14" spans="1:12" x14ac:dyDescent="0.25">
      <c r="A14" s="31">
        <v>100</v>
      </c>
      <c r="B14" s="34">
        <v>296.66217</v>
      </c>
      <c r="C14" s="30">
        <v>27.048590000000001</v>
      </c>
      <c r="D14" s="30">
        <v>0.98111000000000004</v>
      </c>
      <c r="E14" s="29"/>
      <c r="F14" s="29"/>
      <c r="G14" s="9">
        <f t="shared" si="0"/>
        <v>3.4123583499521657</v>
      </c>
      <c r="H14" s="9">
        <f t="shared" si="1"/>
        <v>3.4123583499521657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2.0913649318793035</v>
      </c>
      <c r="H9" s="9">
        <f t="shared" ref="H9:H14" si="1">B9/(C9+$D$5)^D9</f>
        <v>2.0913649318793035</v>
      </c>
      <c r="J9" s="29"/>
      <c r="K9" s="29"/>
      <c r="L9" s="30"/>
    </row>
    <row r="10" spans="1:12" x14ac:dyDescent="0.25">
      <c r="A10" s="31">
        <v>5</v>
      </c>
      <c r="B10" s="34">
        <v>259.11354999999998</v>
      </c>
      <c r="C10" s="30">
        <v>32.664630000000002</v>
      </c>
      <c r="D10" s="30">
        <v>1.0171399999999999</v>
      </c>
      <c r="E10" s="29"/>
      <c r="F10" s="29"/>
      <c r="G10" s="9">
        <f t="shared" si="0"/>
        <v>2.3857751586864677</v>
      </c>
      <c r="H10" s="9">
        <f t="shared" si="1"/>
        <v>2.3857751586864677</v>
      </c>
      <c r="J10" s="29"/>
      <c r="K10" s="29"/>
      <c r="L10" s="30"/>
    </row>
    <row r="11" spans="1:12" x14ac:dyDescent="0.25">
      <c r="A11" s="31">
        <v>10</v>
      </c>
      <c r="B11" s="34">
        <v>267.80932999999999</v>
      </c>
      <c r="C11" s="30">
        <v>31.36009</v>
      </c>
      <c r="D11" s="30">
        <v>1.00878</v>
      </c>
      <c r="E11" s="29"/>
      <c r="F11" s="29"/>
      <c r="G11" s="35">
        <f t="shared" si="0"/>
        <v>2.5967509208592343</v>
      </c>
      <c r="H11" s="118">
        <f t="shared" si="1"/>
        <v>2.5967509208592343</v>
      </c>
      <c r="J11" s="29"/>
      <c r="K11" s="29"/>
      <c r="L11" s="30"/>
    </row>
    <row r="12" spans="1:12" x14ac:dyDescent="0.25">
      <c r="A12" s="31">
        <v>25</v>
      </c>
      <c r="B12" s="34">
        <v>280.16379000000001</v>
      </c>
      <c r="C12" s="30">
        <v>29.53274</v>
      </c>
      <c r="D12" s="30">
        <v>0.99697999999999998</v>
      </c>
      <c r="E12" s="29"/>
      <c r="F12" s="29"/>
      <c r="G12" s="9">
        <f t="shared" si="0"/>
        <v>2.9216632741116566</v>
      </c>
      <c r="H12" s="9">
        <f t="shared" si="1"/>
        <v>2.9216632741116566</v>
      </c>
      <c r="J12" s="29"/>
      <c r="K12" s="29"/>
      <c r="L12" s="30"/>
    </row>
    <row r="13" spans="1:12" x14ac:dyDescent="0.25">
      <c r="A13" s="31">
        <v>50</v>
      </c>
      <c r="B13" s="34">
        <v>288.48608999999999</v>
      </c>
      <c r="C13" s="30">
        <v>28.29513</v>
      </c>
      <c r="D13" s="30">
        <v>0.98900999999999994</v>
      </c>
      <c r="E13" s="29"/>
      <c r="F13" s="29"/>
      <c r="G13" s="9">
        <f t="shared" si="0"/>
        <v>3.1600082394558977</v>
      </c>
      <c r="H13" s="9">
        <f t="shared" si="1"/>
        <v>3.1600082394558977</v>
      </c>
    </row>
    <row r="14" spans="1:12" x14ac:dyDescent="0.25">
      <c r="A14" s="31">
        <v>100</v>
      </c>
      <c r="B14" s="34">
        <v>296.13357000000002</v>
      </c>
      <c r="C14" s="30">
        <v>27.129909999999999</v>
      </c>
      <c r="D14" s="30">
        <v>0.98162000000000005</v>
      </c>
      <c r="E14" s="29"/>
      <c r="F14" s="29"/>
      <c r="G14" s="9">
        <f t="shared" si="0"/>
        <v>3.3955201301410995</v>
      </c>
      <c r="H14" s="9">
        <f t="shared" si="1"/>
        <v>3.3955201301410995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1.9267085627803342</v>
      </c>
      <c r="H9" s="9">
        <f t="shared" ref="H9:H14" si="1">B9/(C9+$D$5)^D9</f>
        <v>1.9267085627803342</v>
      </c>
      <c r="J9" s="29"/>
      <c r="K9" s="29"/>
      <c r="L9" s="30"/>
    </row>
    <row r="10" spans="1:12" x14ac:dyDescent="0.25">
      <c r="A10" s="31">
        <v>5</v>
      </c>
      <c r="B10" s="34">
        <v>253.07857999999999</v>
      </c>
      <c r="C10" s="30">
        <v>33.587960000000002</v>
      </c>
      <c r="D10" s="30">
        <v>1.0229900000000001</v>
      </c>
      <c r="E10" s="29"/>
      <c r="F10" s="29"/>
      <c r="G10" s="9">
        <f t="shared" si="0"/>
        <v>2.2470713691186299</v>
      </c>
      <c r="H10" s="9">
        <f t="shared" si="1"/>
        <v>2.2470713691186299</v>
      </c>
      <c r="J10" s="29"/>
      <c r="K10" s="29"/>
      <c r="L10" s="30"/>
    </row>
    <row r="11" spans="1:12" x14ac:dyDescent="0.25">
      <c r="A11" s="31">
        <v>10</v>
      </c>
      <c r="B11" s="34">
        <v>263.15904</v>
      </c>
      <c r="C11" s="30">
        <v>32.0548</v>
      </c>
      <c r="D11" s="30">
        <v>1.0132399999999999</v>
      </c>
      <c r="E11" s="29"/>
      <c r="F11" s="29"/>
      <c r="G11" s="35">
        <f t="shared" si="0"/>
        <v>2.4822518192405378</v>
      </c>
      <c r="H11" s="118">
        <f t="shared" si="1"/>
        <v>2.4822518192405378</v>
      </c>
      <c r="J11" s="29"/>
      <c r="K11" s="29"/>
      <c r="L11" s="30"/>
    </row>
    <row r="12" spans="1:12" x14ac:dyDescent="0.25">
      <c r="A12" s="31">
        <v>25</v>
      </c>
      <c r="B12" s="34">
        <v>276.21251999999998</v>
      </c>
      <c r="C12" s="30">
        <v>30.116250000000001</v>
      </c>
      <c r="D12" s="30">
        <v>1.00075</v>
      </c>
      <c r="E12" s="29"/>
      <c r="F12" s="29"/>
      <c r="G12" s="9">
        <f t="shared" si="0"/>
        <v>2.8142778339787382</v>
      </c>
      <c r="H12" s="9">
        <f t="shared" si="1"/>
        <v>2.8142778339787382</v>
      </c>
      <c r="J12" s="29"/>
      <c r="K12" s="29"/>
      <c r="L12" s="30"/>
    </row>
    <row r="13" spans="1:12" x14ac:dyDescent="0.25">
      <c r="A13" s="31">
        <v>50</v>
      </c>
      <c r="B13" s="34">
        <v>285.40821999999997</v>
      </c>
      <c r="C13" s="30">
        <v>28.755269999999999</v>
      </c>
      <c r="D13" s="30">
        <v>0.99195999999999995</v>
      </c>
      <c r="E13" s="29"/>
      <c r="F13" s="29"/>
      <c r="G13" s="9">
        <f t="shared" si="0"/>
        <v>3.0698847168618095</v>
      </c>
      <c r="H13" s="9">
        <f t="shared" si="1"/>
        <v>3.0698847168618095</v>
      </c>
    </row>
    <row r="14" spans="1:12" x14ac:dyDescent="0.25">
      <c r="A14" s="31">
        <v>100</v>
      </c>
      <c r="B14" s="34">
        <v>293.62644</v>
      </c>
      <c r="C14" s="30">
        <v>27.51709</v>
      </c>
      <c r="D14" s="30">
        <v>0.98404999999999998</v>
      </c>
      <c r="E14" s="29"/>
      <c r="F14" s="29"/>
      <c r="G14" s="9">
        <f t="shared" si="0"/>
        <v>3.3164118917070176</v>
      </c>
      <c r="H14" s="9">
        <f t="shared" si="1"/>
        <v>3.3164118917070176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2.1733331517458492</v>
      </c>
      <c r="H9" s="9">
        <f t="shared" ref="H9:H14" si="1">B9/(C9+$D$5)^D9</f>
        <v>2.1733331517458492</v>
      </c>
      <c r="J9" s="29"/>
      <c r="K9" s="29"/>
      <c r="L9" s="30"/>
    </row>
    <row r="10" spans="1:12" x14ac:dyDescent="0.25">
      <c r="A10" s="31">
        <v>5</v>
      </c>
      <c r="B10" s="34">
        <v>261.38427999999999</v>
      </c>
      <c r="C10" s="30">
        <v>32.321309999999997</v>
      </c>
      <c r="D10" s="30">
        <v>1.01495</v>
      </c>
      <c r="E10" s="29"/>
      <c r="F10" s="29"/>
      <c r="G10" s="9">
        <f t="shared" si="0"/>
        <v>2.4395669803177178</v>
      </c>
      <c r="H10" s="9">
        <f t="shared" si="1"/>
        <v>2.4395669803177178</v>
      </c>
      <c r="J10" s="29"/>
      <c r="K10" s="29"/>
      <c r="L10" s="30"/>
    </row>
    <row r="11" spans="1:12" x14ac:dyDescent="0.25">
      <c r="A11" s="31">
        <v>10</v>
      </c>
      <c r="B11" s="34">
        <v>269.34521000000001</v>
      </c>
      <c r="C11" s="30">
        <v>31.131879999999999</v>
      </c>
      <c r="D11" s="30">
        <v>1.0073099999999999</v>
      </c>
      <c r="E11" s="29"/>
      <c r="F11" s="29"/>
      <c r="G11" s="35">
        <f t="shared" si="0"/>
        <v>2.6354624076407602</v>
      </c>
      <c r="H11" s="118">
        <f t="shared" si="1"/>
        <v>2.6354624076407602</v>
      </c>
      <c r="J11" s="29"/>
      <c r="K11" s="29"/>
      <c r="L11" s="30"/>
    </row>
    <row r="12" spans="1:12" x14ac:dyDescent="0.25">
      <c r="A12" s="31">
        <v>25</v>
      </c>
      <c r="B12" s="34">
        <v>288.87468000000001</v>
      </c>
      <c r="C12" s="30">
        <v>29.410900000000002</v>
      </c>
      <c r="D12" s="30">
        <v>0.99619000000000002</v>
      </c>
      <c r="E12" s="29"/>
      <c r="F12" s="29"/>
      <c r="G12" s="9">
        <f t="shared" si="0"/>
        <v>3.0271956456725335</v>
      </c>
      <c r="H12" s="9">
        <f t="shared" si="1"/>
        <v>3.0271956456725335</v>
      </c>
      <c r="J12" s="29"/>
      <c r="K12" s="29"/>
      <c r="L12" s="30"/>
    </row>
    <row r="13" spans="1:12" x14ac:dyDescent="0.25">
      <c r="A13" s="31">
        <v>50</v>
      </c>
      <c r="B13" s="34">
        <v>288.87468000000001</v>
      </c>
      <c r="C13" s="30">
        <v>28.236509999999999</v>
      </c>
      <c r="D13" s="30">
        <v>0.98863999999999996</v>
      </c>
      <c r="E13" s="29"/>
      <c r="F13" s="29"/>
      <c r="G13" s="9">
        <f t="shared" si="0"/>
        <v>3.1715278216037226</v>
      </c>
      <c r="H13" s="9">
        <f t="shared" si="1"/>
        <v>3.1715278216037226</v>
      </c>
    </row>
    <row r="14" spans="1:12" x14ac:dyDescent="0.25">
      <c r="A14" s="31">
        <v>100</v>
      </c>
      <c r="B14" s="34">
        <v>296.40785</v>
      </c>
      <c r="C14" s="30">
        <v>27.086500000000001</v>
      </c>
      <c r="D14" s="30">
        <v>0.98134999999999994</v>
      </c>
      <c r="E14" s="29"/>
      <c r="F14" s="29"/>
      <c r="G14" s="9">
        <f t="shared" si="0"/>
        <v>3.4043742065849432</v>
      </c>
      <c r="H14" s="9">
        <f t="shared" si="1"/>
        <v>3.4043742065849432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1.9235170338825929</v>
      </c>
      <c r="H9" s="9">
        <f t="shared" ref="H9:H14" si="1">B9/(C9+$D$5)^D9</f>
        <v>1.9235170338825929</v>
      </c>
      <c r="J9" s="29"/>
      <c r="K9" s="29"/>
      <c r="L9" s="30"/>
    </row>
    <row r="10" spans="1:12" x14ac:dyDescent="0.25">
      <c r="A10" s="31">
        <v>5</v>
      </c>
      <c r="B10" s="34">
        <v>253.76636999999999</v>
      </c>
      <c r="C10" s="30">
        <v>33.481679999999997</v>
      </c>
      <c r="D10" s="30">
        <v>1.0223199999999999</v>
      </c>
      <c r="E10" s="29"/>
      <c r="F10" s="29"/>
      <c r="G10" s="9">
        <f t="shared" si="0"/>
        <v>2.2625875536433755</v>
      </c>
      <c r="H10" s="9">
        <f t="shared" si="1"/>
        <v>2.2625875536433755</v>
      </c>
      <c r="J10" s="29"/>
      <c r="K10" s="29"/>
      <c r="L10" s="30"/>
    </row>
    <row r="11" spans="1:12" x14ac:dyDescent="0.25">
      <c r="A11" s="31">
        <v>10</v>
      </c>
      <c r="B11" s="34">
        <v>263.78131000000002</v>
      </c>
      <c r="C11" s="30">
        <v>31.96134</v>
      </c>
      <c r="D11" s="30">
        <v>1.0126500000000001</v>
      </c>
      <c r="E11" s="29"/>
      <c r="F11" s="29"/>
      <c r="G11" s="35">
        <f t="shared" si="0"/>
        <v>2.4972566320952532</v>
      </c>
      <c r="H11" s="118">
        <f t="shared" si="1"/>
        <v>2.4972566320952532</v>
      </c>
      <c r="J11" s="29"/>
      <c r="K11" s="29"/>
      <c r="L11" s="30"/>
    </row>
    <row r="12" spans="1:12" x14ac:dyDescent="0.25">
      <c r="A12" s="31">
        <v>25</v>
      </c>
      <c r="B12" s="34">
        <v>277.32452000000001</v>
      </c>
      <c r="C12" s="30">
        <v>29.952089999999998</v>
      </c>
      <c r="D12" s="30">
        <v>0.99968999999999997</v>
      </c>
      <c r="E12" s="29"/>
      <c r="F12" s="29"/>
      <c r="G12" s="9">
        <f t="shared" si="0"/>
        <v>2.8441400171025415</v>
      </c>
      <c r="H12" s="9">
        <f t="shared" si="1"/>
        <v>2.8441400171025415</v>
      </c>
      <c r="J12" s="29"/>
      <c r="K12" s="29"/>
      <c r="L12" s="30"/>
    </row>
    <row r="13" spans="1:12" x14ac:dyDescent="0.25">
      <c r="A13" s="31">
        <v>50</v>
      </c>
      <c r="B13" s="34">
        <v>286.37653999999998</v>
      </c>
      <c r="C13" s="30">
        <v>28.610849999999999</v>
      </c>
      <c r="D13" s="30">
        <v>0.99104000000000003</v>
      </c>
      <c r="E13" s="29"/>
      <c r="F13" s="29"/>
      <c r="G13" s="9">
        <f t="shared" si="0"/>
        <v>3.097872487075267</v>
      </c>
      <c r="H13" s="9">
        <f t="shared" si="1"/>
        <v>3.097872487075267</v>
      </c>
    </row>
    <row r="14" spans="1:12" x14ac:dyDescent="0.25">
      <c r="A14" s="31">
        <v>100</v>
      </c>
      <c r="B14" s="34">
        <v>294.97888999999998</v>
      </c>
      <c r="C14" s="30">
        <v>27.308869999999999</v>
      </c>
      <c r="D14" s="30">
        <v>0.98273999999999995</v>
      </c>
      <c r="E14" s="29"/>
      <c r="F14" s="29"/>
      <c r="G14" s="9">
        <f t="shared" si="0"/>
        <v>3.3588508793836298</v>
      </c>
      <c r="H14" s="9">
        <f t="shared" si="1"/>
        <v>3.3588508793836298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417</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1.9546372763369113</v>
      </c>
      <c r="H9" s="9">
        <f t="shared" ref="H9:H14" si="1">B9/(C9+$D$5)^D9</f>
        <v>1.9546372763369113</v>
      </c>
      <c r="J9" s="29"/>
      <c r="K9" s="29"/>
      <c r="L9" s="30"/>
    </row>
    <row r="10" spans="1:12" x14ac:dyDescent="0.25">
      <c r="A10" s="31">
        <v>5</v>
      </c>
      <c r="B10" s="34">
        <v>254.57509999999999</v>
      </c>
      <c r="C10" s="30">
        <v>33.357579999999999</v>
      </c>
      <c r="D10" s="30">
        <v>1.0215399999999999</v>
      </c>
      <c r="E10" s="29"/>
      <c r="F10" s="29"/>
      <c r="G10" s="9">
        <f t="shared" si="0"/>
        <v>2.2808446917364753</v>
      </c>
      <c r="H10" s="9">
        <f t="shared" si="1"/>
        <v>2.2808446917364753</v>
      </c>
      <c r="J10" s="29"/>
      <c r="K10" s="29"/>
      <c r="L10" s="30"/>
    </row>
    <row r="11" spans="1:12" x14ac:dyDescent="0.25">
      <c r="A11" s="31">
        <v>10</v>
      </c>
      <c r="B11" s="34">
        <v>265.33812</v>
      </c>
      <c r="C11" s="30">
        <v>31.728549999999998</v>
      </c>
      <c r="D11" s="30">
        <v>1.01115</v>
      </c>
      <c r="E11" s="29"/>
      <c r="F11" s="29"/>
      <c r="G11" s="35">
        <f t="shared" si="0"/>
        <v>2.5353828941883876</v>
      </c>
      <c r="H11" s="118">
        <f t="shared" si="1"/>
        <v>2.5353828941883876</v>
      </c>
      <c r="J11" s="29"/>
      <c r="K11" s="29"/>
      <c r="L11" s="30"/>
    </row>
    <row r="12" spans="1:12" x14ac:dyDescent="0.25">
      <c r="A12" s="31">
        <v>25</v>
      </c>
      <c r="B12" s="34">
        <v>278.27661000000001</v>
      </c>
      <c r="C12" s="30">
        <v>29.811530000000001</v>
      </c>
      <c r="D12" s="30">
        <v>0.99878</v>
      </c>
      <c r="E12" s="29"/>
      <c r="F12" s="29"/>
      <c r="G12" s="9">
        <f t="shared" si="0"/>
        <v>2.869953370003147</v>
      </c>
      <c r="H12" s="9">
        <f t="shared" si="1"/>
        <v>2.869953370003147</v>
      </c>
      <c r="J12" s="29"/>
      <c r="K12" s="29"/>
      <c r="L12" s="30"/>
    </row>
    <row r="13" spans="1:12" x14ac:dyDescent="0.25">
      <c r="A13" s="31">
        <v>50</v>
      </c>
      <c r="B13" s="34">
        <v>287.58051</v>
      </c>
      <c r="C13" s="30">
        <v>28.431000000000001</v>
      </c>
      <c r="D13" s="30">
        <v>0.98987999999999998</v>
      </c>
      <c r="E13" s="29"/>
      <c r="F13" s="29"/>
      <c r="G13" s="9">
        <f t="shared" si="0"/>
        <v>3.1332148250865761</v>
      </c>
      <c r="H13" s="9">
        <f t="shared" si="1"/>
        <v>3.1332148250865761</v>
      </c>
    </row>
    <row r="14" spans="1:12" x14ac:dyDescent="0.25">
      <c r="A14" s="31">
        <v>100</v>
      </c>
      <c r="B14" s="34">
        <v>296.11192</v>
      </c>
      <c r="C14" s="30">
        <v>27.133880000000001</v>
      </c>
      <c r="D14" s="30">
        <v>0.98163999999999996</v>
      </c>
      <c r="E14" s="29"/>
      <c r="F14" s="29"/>
      <c r="G14" s="9">
        <f t="shared" si="0"/>
        <v>3.3948232725706426</v>
      </c>
      <c r="H14" s="9">
        <f t="shared" si="1"/>
        <v>3.3948232725706426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2.2371067712572281</v>
      </c>
      <c r="H9" s="9">
        <f t="shared" ref="H9:H14" si="1">B9/(C9+$D$5)^D9</f>
        <v>2.2371067712572281</v>
      </c>
      <c r="J9" s="29"/>
      <c r="K9" s="29"/>
      <c r="L9" s="30"/>
    </row>
    <row r="10" spans="1:12" x14ac:dyDescent="0.25">
      <c r="A10" s="31">
        <v>5</v>
      </c>
      <c r="B10" s="34">
        <v>263.35487999999998</v>
      </c>
      <c r="C10" s="30">
        <v>32.025089999999999</v>
      </c>
      <c r="D10" s="30">
        <v>1.0130600000000001</v>
      </c>
      <c r="E10" s="29"/>
      <c r="F10" s="29"/>
      <c r="G10" s="9">
        <f t="shared" si="0"/>
        <v>2.4869083511440766</v>
      </c>
      <c r="H10" s="9">
        <f t="shared" si="1"/>
        <v>2.4869083511440766</v>
      </c>
      <c r="J10" s="29"/>
      <c r="K10" s="29"/>
      <c r="L10" s="30"/>
    </row>
    <row r="11" spans="1:12" x14ac:dyDescent="0.25">
      <c r="A11" s="31">
        <v>10</v>
      </c>
      <c r="B11" s="34">
        <v>271.20123999999998</v>
      </c>
      <c r="C11" s="30">
        <v>30.856809999999999</v>
      </c>
      <c r="D11" s="30">
        <v>1.0055400000000001</v>
      </c>
      <c r="E11" s="29"/>
      <c r="F11" s="29"/>
      <c r="G11" s="35">
        <f t="shared" si="0"/>
        <v>2.682794209564034</v>
      </c>
      <c r="H11" s="118">
        <f t="shared" si="1"/>
        <v>2.682794209564034</v>
      </c>
      <c r="J11" s="29"/>
      <c r="K11" s="29"/>
      <c r="L11" s="30"/>
    </row>
    <row r="12" spans="1:12" x14ac:dyDescent="0.25">
      <c r="A12" s="31">
        <v>25</v>
      </c>
      <c r="B12" s="34">
        <v>282.27166999999997</v>
      </c>
      <c r="C12" s="30">
        <v>29.22082</v>
      </c>
      <c r="D12" s="30">
        <v>0.99494000000000005</v>
      </c>
      <c r="E12" s="29"/>
      <c r="F12" s="29"/>
      <c r="G12" s="9">
        <f t="shared" si="0"/>
        <v>2.9807736837370449</v>
      </c>
      <c r="H12" s="9">
        <f t="shared" si="1"/>
        <v>2.9807736837370449</v>
      </c>
      <c r="J12" s="29"/>
      <c r="K12" s="29"/>
      <c r="L12" s="30"/>
    </row>
    <row r="13" spans="1:12" x14ac:dyDescent="0.25">
      <c r="A13" s="31">
        <v>50</v>
      </c>
      <c r="B13" s="34">
        <v>290.40814</v>
      </c>
      <c r="C13" s="30">
        <v>28.005379999999999</v>
      </c>
      <c r="D13" s="30">
        <v>0.98716000000000004</v>
      </c>
      <c r="E13" s="29"/>
      <c r="F13" s="29"/>
      <c r="G13" s="9">
        <f t="shared" si="0"/>
        <v>3.2176241116360234</v>
      </c>
      <c r="H13" s="9">
        <f t="shared" si="1"/>
        <v>3.2176241116360234</v>
      </c>
    </row>
    <row r="14" spans="1:12" x14ac:dyDescent="0.25">
      <c r="A14" s="31">
        <v>100</v>
      </c>
      <c r="B14" s="34">
        <v>297.47764999999998</v>
      </c>
      <c r="C14" s="30">
        <v>26.91919</v>
      </c>
      <c r="D14" s="30">
        <v>0.98031000000000001</v>
      </c>
      <c r="E14" s="29"/>
      <c r="F14" s="29"/>
      <c r="G14" s="9">
        <f t="shared" si="0"/>
        <v>3.4388237862956532</v>
      </c>
      <c r="H14" s="9">
        <f t="shared" si="1"/>
        <v>3.4388237862956532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1.9686098375796752</v>
      </c>
      <c r="H9" s="9">
        <f t="shared" ref="H9:H14" si="1">B9/(C9+$D$5)^D9</f>
        <v>1.9686098375796752</v>
      </c>
      <c r="J9" s="29"/>
      <c r="K9" s="29"/>
      <c r="L9" s="30"/>
    </row>
    <row r="10" spans="1:12" x14ac:dyDescent="0.25">
      <c r="A10" s="31">
        <v>5</v>
      </c>
      <c r="B10" s="34">
        <v>255.19143</v>
      </c>
      <c r="C10" s="30">
        <v>33.262779999999999</v>
      </c>
      <c r="D10" s="30">
        <v>1.02094</v>
      </c>
      <c r="E10" s="29"/>
      <c r="F10" s="29"/>
      <c r="G10" s="9">
        <f t="shared" si="0"/>
        <v>2.2949052329548372</v>
      </c>
      <c r="H10" s="9">
        <f t="shared" si="1"/>
        <v>2.2949052329548372</v>
      </c>
      <c r="J10" s="29"/>
      <c r="K10" s="29"/>
      <c r="L10" s="30"/>
    </row>
    <row r="11" spans="1:12" x14ac:dyDescent="0.25">
      <c r="A11" s="31">
        <v>10</v>
      </c>
      <c r="B11" s="34">
        <v>265.20096000000001</v>
      </c>
      <c r="C11" s="30">
        <v>31.748999999999999</v>
      </c>
      <c r="D11" s="30">
        <v>1.01128</v>
      </c>
      <c r="E11" s="29"/>
      <c r="F11" s="29"/>
      <c r="G11" s="35">
        <f t="shared" si="0"/>
        <v>2.5320308893649819</v>
      </c>
      <c r="H11" s="118">
        <f t="shared" si="1"/>
        <v>2.5320308893649819</v>
      </c>
      <c r="J11" s="29"/>
      <c r="K11" s="29"/>
      <c r="L11" s="30"/>
    </row>
    <row r="12" spans="1:12" x14ac:dyDescent="0.25">
      <c r="A12" s="31">
        <v>25</v>
      </c>
      <c r="B12" s="34">
        <v>278.49725000000001</v>
      </c>
      <c r="C12" s="30">
        <v>29.778949999999998</v>
      </c>
      <c r="D12" s="30">
        <v>0.99856999999999996</v>
      </c>
      <c r="E12" s="29"/>
      <c r="F12" s="29"/>
      <c r="G12" s="9">
        <f t="shared" si="0"/>
        <v>2.8759522655463798</v>
      </c>
      <c r="H12" s="9">
        <f t="shared" si="1"/>
        <v>2.8759522655463798</v>
      </c>
      <c r="J12" s="29"/>
      <c r="K12" s="29"/>
      <c r="L12" s="30"/>
    </row>
    <row r="13" spans="1:12" x14ac:dyDescent="0.25">
      <c r="A13" s="31">
        <v>50</v>
      </c>
      <c r="B13" s="34">
        <v>287.80007000000001</v>
      </c>
      <c r="C13" s="30">
        <v>28.398219999999998</v>
      </c>
      <c r="D13" s="30">
        <v>0.98967000000000005</v>
      </c>
      <c r="E13" s="29"/>
      <c r="F13" s="29"/>
      <c r="G13" s="9">
        <f t="shared" si="0"/>
        <v>3.1396743858374832</v>
      </c>
      <c r="H13" s="9">
        <f t="shared" si="1"/>
        <v>3.1396743858374832</v>
      </c>
    </row>
    <row r="14" spans="1:12" x14ac:dyDescent="0.25">
      <c r="A14" s="31">
        <v>100</v>
      </c>
      <c r="B14" s="34">
        <v>295.94022000000001</v>
      </c>
      <c r="C14" s="30">
        <v>27.160820000000001</v>
      </c>
      <c r="D14" s="30">
        <v>0.98180999999999996</v>
      </c>
      <c r="E14" s="29"/>
      <c r="F14" s="29"/>
      <c r="G14" s="9">
        <f t="shared" si="0"/>
        <v>3.3892848843639287</v>
      </c>
      <c r="H14" s="9">
        <f t="shared" si="1"/>
        <v>3.3892848843639287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2.0366433993548205</v>
      </c>
      <c r="H9" s="9">
        <f t="shared" ref="H9:H14" si="1">B9/(C9+$D$5)^D9</f>
        <v>2.0366433993548205</v>
      </c>
      <c r="J9" s="29"/>
      <c r="K9" s="29"/>
      <c r="L9" s="30"/>
    </row>
    <row r="10" spans="1:12" x14ac:dyDescent="0.25">
      <c r="A10" s="31">
        <v>5</v>
      </c>
      <c r="B10" s="34">
        <v>257.20585</v>
      </c>
      <c r="C10" s="30">
        <v>32.954790000000003</v>
      </c>
      <c r="D10" s="30">
        <v>1.01898</v>
      </c>
      <c r="E10" s="29"/>
      <c r="F10" s="29"/>
      <c r="G10" s="9">
        <f t="shared" si="0"/>
        <v>2.3413144023635293</v>
      </c>
      <c r="H10" s="9">
        <f t="shared" si="1"/>
        <v>2.3413144023635293</v>
      </c>
      <c r="J10" s="29"/>
      <c r="K10" s="29"/>
      <c r="L10" s="30"/>
    </row>
    <row r="11" spans="1:12" x14ac:dyDescent="0.25">
      <c r="A11" s="31">
        <v>10</v>
      </c>
      <c r="B11" s="34">
        <v>266.59332999999998</v>
      </c>
      <c r="C11" s="30">
        <v>31.54121</v>
      </c>
      <c r="D11" s="30">
        <v>1.0099499999999999</v>
      </c>
      <c r="E11" s="29"/>
      <c r="F11" s="29"/>
      <c r="G11" s="35">
        <f t="shared" si="0"/>
        <v>2.5663590970359036</v>
      </c>
      <c r="H11" s="118">
        <f t="shared" si="1"/>
        <v>2.5663590970359036</v>
      </c>
      <c r="J11" s="29"/>
      <c r="K11" s="29"/>
      <c r="L11" s="30"/>
    </row>
    <row r="12" spans="1:12" x14ac:dyDescent="0.25">
      <c r="A12" s="31">
        <v>25</v>
      </c>
      <c r="B12" s="34">
        <v>279.10068000000001</v>
      </c>
      <c r="C12" s="30">
        <v>29.689830000000001</v>
      </c>
      <c r="D12" s="30">
        <v>0.99799000000000004</v>
      </c>
      <c r="E12" s="29"/>
      <c r="F12" s="29"/>
      <c r="G12" s="9">
        <f t="shared" si="0"/>
        <v>2.8924886981164644</v>
      </c>
      <c r="H12" s="9">
        <f t="shared" si="1"/>
        <v>2.8924886981164644</v>
      </c>
      <c r="J12" s="29"/>
      <c r="K12" s="29"/>
      <c r="L12" s="30"/>
    </row>
    <row r="13" spans="1:12" x14ac:dyDescent="0.25">
      <c r="A13" s="31">
        <v>50</v>
      </c>
      <c r="B13" s="34">
        <v>287.98860000000002</v>
      </c>
      <c r="C13" s="30">
        <v>28.369949999999999</v>
      </c>
      <c r="D13" s="30">
        <v>0.98948999999999998</v>
      </c>
      <c r="E13" s="29"/>
      <c r="F13" s="29"/>
      <c r="G13" s="9">
        <f t="shared" si="0"/>
        <v>3.1452294896997861</v>
      </c>
      <c r="H13" s="9">
        <f t="shared" si="1"/>
        <v>3.1452294896997861</v>
      </c>
    </row>
    <row r="14" spans="1:12" x14ac:dyDescent="0.25">
      <c r="A14" s="31">
        <v>100</v>
      </c>
      <c r="B14" s="34">
        <v>295.95202</v>
      </c>
      <c r="C14" s="30">
        <v>27.15897</v>
      </c>
      <c r="D14" s="30">
        <v>0.98180000000000001</v>
      </c>
      <c r="E14" s="29"/>
      <c r="F14" s="29"/>
      <c r="G14" s="9">
        <f t="shared" si="0"/>
        <v>3.3896392333945244</v>
      </c>
      <c r="H14" s="9">
        <f t="shared" si="1"/>
        <v>3.3896392333945244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2.0007192351959917</v>
      </c>
      <c r="H9" s="9">
        <f t="shared" ref="H9:H14" si="1">B9/(C9+$D$5)^D9</f>
        <v>2.0007192351959917</v>
      </c>
      <c r="J9" s="29"/>
      <c r="K9" s="29"/>
      <c r="L9" s="30"/>
    </row>
    <row r="10" spans="1:12" x14ac:dyDescent="0.25">
      <c r="A10" s="31">
        <v>5</v>
      </c>
      <c r="B10" s="34">
        <v>255.60579000000001</v>
      </c>
      <c r="C10" s="30">
        <v>33.199210000000001</v>
      </c>
      <c r="D10" s="30">
        <v>1.0205299999999999</v>
      </c>
      <c r="E10" s="29"/>
      <c r="F10" s="29"/>
      <c r="G10" s="9">
        <f t="shared" si="0"/>
        <v>2.3044655512817624</v>
      </c>
      <c r="H10" s="9">
        <f t="shared" si="1"/>
        <v>2.3044655512817624</v>
      </c>
      <c r="J10" s="29"/>
      <c r="K10" s="29"/>
      <c r="L10" s="30"/>
    </row>
    <row r="11" spans="1:12" x14ac:dyDescent="0.25">
      <c r="A11" s="31">
        <v>10</v>
      </c>
      <c r="B11" s="34">
        <v>265.91649999999998</v>
      </c>
      <c r="C11" s="30">
        <v>31.642119999999998</v>
      </c>
      <c r="D11" s="30">
        <v>1.0105999999999999</v>
      </c>
      <c r="E11" s="29"/>
      <c r="F11" s="29"/>
      <c r="G11" s="35">
        <f t="shared" si="0"/>
        <v>2.5495851431645677</v>
      </c>
      <c r="H11" s="118">
        <f t="shared" si="1"/>
        <v>2.5495851431645677</v>
      </c>
      <c r="J11" s="29"/>
      <c r="K11" s="29"/>
      <c r="L11" s="30"/>
    </row>
    <row r="12" spans="1:12" x14ac:dyDescent="0.25">
      <c r="A12" s="31">
        <v>25</v>
      </c>
      <c r="B12" s="34">
        <v>279.12966999999998</v>
      </c>
      <c r="C12" s="30">
        <v>29.68554</v>
      </c>
      <c r="D12" s="30">
        <v>0.99797000000000002</v>
      </c>
      <c r="E12" s="29"/>
      <c r="F12" s="29"/>
      <c r="G12" s="9">
        <f t="shared" si="0"/>
        <v>2.8931812463045952</v>
      </c>
      <c r="H12" s="9">
        <f t="shared" si="1"/>
        <v>2.8931812463045952</v>
      </c>
      <c r="J12" s="29"/>
      <c r="K12" s="29"/>
      <c r="L12" s="30"/>
    </row>
    <row r="13" spans="1:12" x14ac:dyDescent="0.25">
      <c r="A13" s="31">
        <v>50</v>
      </c>
      <c r="B13" s="34">
        <v>287.73534999999998</v>
      </c>
      <c r="C13" s="30">
        <v>28.407810000000001</v>
      </c>
      <c r="D13" s="30">
        <v>0.98973</v>
      </c>
      <c r="E13" s="29"/>
      <c r="F13" s="29"/>
      <c r="G13" s="9">
        <f t="shared" si="0"/>
        <v>3.1377987011603081</v>
      </c>
      <c r="H13" s="9">
        <f t="shared" si="1"/>
        <v>3.1377987011603081</v>
      </c>
    </row>
    <row r="14" spans="1:12" x14ac:dyDescent="0.25">
      <c r="A14" s="31">
        <v>100</v>
      </c>
      <c r="B14" s="34">
        <v>296.11192</v>
      </c>
      <c r="C14" s="30">
        <v>27.133880000000001</v>
      </c>
      <c r="D14" s="30">
        <v>0.98163999999999996</v>
      </c>
      <c r="E14" s="29"/>
      <c r="F14" s="29"/>
      <c r="G14" s="9">
        <f t="shared" si="0"/>
        <v>3.3948232725706426</v>
      </c>
      <c r="H14" s="9">
        <f t="shared" si="1"/>
        <v>3.3948232725706426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2.1504330638755258</v>
      </c>
      <c r="H9" s="9">
        <f t="shared" ref="H9:H14" si="1">B9/(C9+$D$5)^D9</f>
        <v>2.1504330638755258</v>
      </c>
      <c r="J9" s="29"/>
      <c r="K9" s="29"/>
      <c r="L9" s="30"/>
    </row>
    <row r="10" spans="1:12" x14ac:dyDescent="0.25">
      <c r="A10" s="31">
        <v>5</v>
      </c>
      <c r="B10" s="34">
        <v>260.21913999999998</v>
      </c>
      <c r="C10" s="30">
        <v>32.497070000000001</v>
      </c>
      <c r="D10" s="30">
        <v>1.01607</v>
      </c>
      <c r="E10" s="29"/>
      <c r="F10" s="29"/>
      <c r="G10" s="9">
        <f t="shared" si="0"/>
        <v>2.4118909094744594</v>
      </c>
      <c r="H10" s="9">
        <f t="shared" si="1"/>
        <v>2.4118909094744594</v>
      </c>
      <c r="J10" s="29"/>
      <c r="K10" s="29"/>
      <c r="L10" s="30"/>
    </row>
    <row r="11" spans="1:12" x14ac:dyDescent="0.25">
      <c r="A11" s="31">
        <v>10</v>
      </c>
      <c r="B11" s="34">
        <v>268.83895999999999</v>
      </c>
      <c r="C11" s="30">
        <v>31.20702</v>
      </c>
      <c r="D11" s="30">
        <v>1.0078</v>
      </c>
      <c r="E11" s="29"/>
      <c r="F11" s="29"/>
      <c r="G11" s="35">
        <f t="shared" si="0"/>
        <v>2.6225853692559395</v>
      </c>
      <c r="H11" s="118">
        <f t="shared" si="1"/>
        <v>2.6225853692559395</v>
      </c>
      <c r="J11" s="29"/>
      <c r="K11" s="29"/>
      <c r="L11" s="30"/>
    </row>
    <row r="12" spans="1:12" x14ac:dyDescent="0.25">
      <c r="A12" s="31">
        <v>25</v>
      </c>
      <c r="B12" s="34">
        <v>280.74806000000001</v>
      </c>
      <c r="C12" s="30">
        <v>29.446339999999999</v>
      </c>
      <c r="D12" s="30">
        <v>0.99641999999999997</v>
      </c>
      <c r="E12" s="29"/>
      <c r="F12" s="29"/>
      <c r="G12" s="9">
        <f t="shared" si="0"/>
        <v>2.9378715559022792</v>
      </c>
      <c r="H12" s="9">
        <f t="shared" si="1"/>
        <v>2.9378715559022792</v>
      </c>
      <c r="J12" s="29"/>
      <c r="K12" s="29"/>
      <c r="L12" s="30"/>
    </row>
    <row r="13" spans="1:12" x14ac:dyDescent="0.25">
      <c r="A13" s="31">
        <v>50</v>
      </c>
      <c r="B13" s="34">
        <v>289.11743999999999</v>
      </c>
      <c r="C13" s="30">
        <v>28.200089999999999</v>
      </c>
      <c r="D13" s="30">
        <v>0.98839999999999995</v>
      </c>
      <c r="E13" s="29"/>
      <c r="F13" s="29"/>
      <c r="G13" s="9">
        <f t="shared" si="0"/>
        <v>3.1788644221980835</v>
      </c>
      <c r="H13" s="9">
        <f t="shared" si="1"/>
        <v>3.1788644221980835</v>
      </c>
    </row>
    <row r="14" spans="1:12" x14ac:dyDescent="0.25">
      <c r="A14" s="31">
        <v>100</v>
      </c>
      <c r="B14" s="34">
        <v>296.42743999999999</v>
      </c>
      <c r="C14" s="30">
        <v>27.08362</v>
      </c>
      <c r="D14" s="30">
        <v>0.98133000000000004</v>
      </c>
      <c r="E14" s="29"/>
      <c r="F14" s="29"/>
      <c r="G14" s="9">
        <f t="shared" si="0"/>
        <v>3.4050106784890573</v>
      </c>
      <c r="H14" s="9">
        <f t="shared" si="1"/>
        <v>3.4050106784890573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2.002584853162551</v>
      </c>
      <c r="H9" s="9">
        <f t="shared" ref="H9:H14" si="1">B9/(C9+$D$5)^D9</f>
        <v>2.002584853162551</v>
      </c>
      <c r="J9" s="29"/>
      <c r="K9" s="29"/>
      <c r="L9" s="30"/>
    </row>
    <row r="10" spans="1:12" x14ac:dyDescent="0.25">
      <c r="A10" s="31">
        <v>5</v>
      </c>
      <c r="B10" s="34">
        <v>255.90621999999999</v>
      </c>
      <c r="C10" s="30">
        <v>33.153260000000003</v>
      </c>
      <c r="D10" s="30">
        <v>1.02024</v>
      </c>
      <c r="E10" s="29"/>
      <c r="F10" s="29"/>
      <c r="G10" s="9">
        <f t="shared" si="0"/>
        <v>2.3113373428272186</v>
      </c>
      <c r="H10" s="9">
        <f t="shared" si="1"/>
        <v>2.3113373428272186</v>
      </c>
      <c r="J10" s="29"/>
      <c r="K10" s="29"/>
      <c r="L10" s="30"/>
    </row>
    <row r="11" spans="1:12" x14ac:dyDescent="0.25">
      <c r="A11" s="31">
        <v>10</v>
      </c>
      <c r="B11" s="34">
        <v>265.82508000000001</v>
      </c>
      <c r="C11" s="30">
        <v>31.65579</v>
      </c>
      <c r="D11" s="30">
        <v>1.01068</v>
      </c>
      <c r="E11" s="29"/>
      <c r="F11" s="29"/>
      <c r="G11" s="35">
        <f t="shared" si="0"/>
        <v>2.5474168638188153</v>
      </c>
      <c r="H11" s="118">
        <f t="shared" si="1"/>
        <v>2.5474168638188153</v>
      </c>
      <c r="J11" s="29"/>
      <c r="K11" s="29"/>
      <c r="L11" s="30"/>
    </row>
    <row r="12" spans="1:12" x14ac:dyDescent="0.25">
      <c r="A12" s="31">
        <v>25</v>
      </c>
      <c r="B12" s="34">
        <v>278.87729000000002</v>
      </c>
      <c r="C12" s="30">
        <v>29.722819999999999</v>
      </c>
      <c r="D12" s="30">
        <v>0.99821000000000004</v>
      </c>
      <c r="E12" s="29"/>
      <c r="F12" s="29"/>
      <c r="G12" s="9">
        <f t="shared" si="0"/>
        <v>2.88628773514061</v>
      </c>
      <c r="H12" s="9">
        <f t="shared" si="1"/>
        <v>2.88628773514061</v>
      </c>
      <c r="J12" s="29"/>
      <c r="K12" s="29"/>
      <c r="L12" s="30"/>
    </row>
    <row r="13" spans="1:12" x14ac:dyDescent="0.25">
      <c r="A13" s="31">
        <v>50</v>
      </c>
      <c r="B13" s="34">
        <v>287.70310000000001</v>
      </c>
      <c r="C13" s="30">
        <v>28.412700000000001</v>
      </c>
      <c r="D13" s="30">
        <v>0.98975999999999997</v>
      </c>
      <c r="E13" s="29"/>
      <c r="F13" s="29"/>
      <c r="G13" s="9">
        <f t="shared" si="0"/>
        <v>3.1368593474208435</v>
      </c>
      <c r="H13" s="9">
        <f t="shared" si="1"/>
        <v>3.1368593474208435</v>
      </c>
    </row>
    <row r="14" spans="1:12" x14ac:dyDescent="0.25">
      <c r="A14" s="31">
        <v>100</v>
      </c>
      <c r="B14" s="34">
        <v>295.99838</v>
      </c>
      <c r="C14" s="30">
        <v>27.151769999999999</v>
      </c>
      <c r="D14" s="30">
        <v>0.98175000000000001</v>
      </c>
      <c r="E14" s="29"/>
      <c r="F14" s="29"/>
      <c r="G14" s="9">
        <f t="shared" si="0"/>
        <v>3.3911946741792831</v>
      </c>
      <c r="H14" s="9">
        <f t="shared" si="1"/>
        <v>3.3911946741792831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2.3528360567519964</v>
      </c>
      <c r="H9" s="9">
        <f t="shared" ref="H9:H14" si="1">B9/(C9+$D$5)^D9</f>
        <v>2.3528360567519964</v>
      </c>
      <c r="J9" s="29"/>
      <c r="K9" s="29"/>
      <c r="L9" s="30"/>
    </row>
    <row r="10" spans="1:12" x14ac:dyDescent="0.25">
      <c r="A10" s="31">
        <v>5</v>
      </c>
      <c r="B10" s="34">
        <v>270.87616000000003</v>
      </c>
      <c r="C10" s="30">
        <v>30.90504</v>
      </c>
      <c r="D10" s="30">
        <v>1.0058499999999999</v>
      </c>
      <c r="E10" s="29"/>
      <c r="F10" s="29"/>
      <c r="G10" s="9">
        <f t="shared" si="0"/>
        <v>2.6744513816786974</v>
      </c>
      <c r="H10" s="9">
        <f t="shared" si="1"/>
        <v>2.6744513816786974</v>
      </c>
      <c r="J10" s="29"/>
      <c r="K10" s="29"/>
      <c r="L10" s="30"/>
    </row>
    <row r="11" spans="1:12" x14ac:dyDescent="0.25">
      <c r="A11" s="31">
        <v>10</v>
      </c>
      <c r="B11" s="34">
        <v>279.22149999999999</v>
      </c>
      <c r="C11" s="30">
        <v>29.671980000000001</v>
      </c>
      <c r="D11" s="30">
        <v>0.99787999999999999</v>
      </c>
      <c r="E11" s="29"/>
      <c r="F11" s="29"/>
      <c r="G11" s="35">
        <f t="shared" si="0"/>
        <v>2.8957282845587948</v>
      </c>
      <c r="H11" s="118">
        <f t="shared" si="1"/>
        <v>2.8957282845587948</v>
      </c>
      <c r="J11" s="29"/>
      <c r="K11" s="29"/>
      <c r="L11" s="30"/>
    </row>
    <row r="12" spans="1:12" x14ac:dyDescent="0.25">
      <c r="A12" s="31">
        <v>25</v>
      </c>
      <c r="B12" s="34">
        <v>289.92786999999998</v>
      </c>
      <c r="C12" s="30">
        <v>28.093499999999999</v>
      </c>
      <c r="D12" s="30">
        <v>0.98772000000000004</v>
      </c>
      <c r="E12" s="29"/>
      <c r="F12" s="29"/>
      <c r="G12" s="9">
        <f t="shared" si="0"/>
        <v>3.2011967851974785</v>
      </c>
      <c r="H12" s="9">
        <f t="shared" si="1"/>
        <v>3.2011967851974785</v>
      </c>
      <c r="J12" s="29"/>
      <c r="K12" s="29"/>
      <c r="L12" s="30"/>
    </row>
    <row r="13" spans="1:12" x14ac:dyDescent="0.25">
      <c r="A13" s="31">
        <v>50</v>
      </c>
      <c r="B13" s="34">
        <v>297.03444999999999</v>
      </c>
      <c r="C13" s="30">
        <v>26.990010000000002</v>
      </c>
      <c r="D13" s="30">
        <v>0.98073999999999995</v>
      </c>
      <c r="E13" s="29"/>
      <c r="F13" s="29"/>
      <c r="G13" s="9">
        <f t="shared" si="0"/>
        <v>3.4244753450146845</v>
      </c>
      <c r="H13" s="9">
        <f t="shared" si="1"/>
        <v>3.4244753450146845</v>
      </c>
    </row>
    <row r="14" spans="1:12" x14ac:dyDescent="0.25">
      <c r="A14" s="31">
        <v>100</v>
      </c>
      <c r="B14" s="34">
        <v>303.39913999999999</v>
      </c>
      <c r="C14" s="30">
        <v>25.972549999999998</v>
      </c>
      <c r="D14" s="30">
        <v>0.97448000000000001</v>
      </c>
      <c r="E14" s="29"/>
      <c r="F14" s="29"/>
      <c r="G14" s="9">
        <f t="shared" si="0"/>
        <v>3.6370178984764316</v>
      </c>
      <c r="H14" s="9">
        <f t="shared" si="1"/>
        <v>3.6370178984764316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1.916659344418236</v>
      </c>
      <c r="H9" s="9">
        <f t="shared" ref="H9:H14" si="1">B9/(C9+$D$5)^D9</f>
        <v>1.916659344418236</v>
      </c>
      <c r="J9" s="29"/>
      <c r="K9" s="29"/>
      <c r="L9" s="30"/>
    </row>
    <row r="10" spans="1:12" x14ac:dyDescent="0.25">
      <c r="A10" s="31">
        <v>5</v>
      </c>
      <c r="B10" s="34">
        <v>253.72864999999999</v>
      </c>
      <c r="C10" s="30">
        <v>33.487439999999999</v>
      </c>
      <c r="D10" s="30">
        <v>1.0223599999999999</v>
      </c>
      <c r="E10" s="29"/>
      <c r="F10" s="29"/>
      <c r="G10" s="9">
        <f t="shared" si="0"/>
        <v>2.2617018605183197</v>
      </c>
      <c r="H10" s="9">
        <f t="shared" si="1"/>
        <v>2.2617018605183197</v>
      </c>
      <c r="J10" s="29"/>
      <c r="K10" s="29"/>
      <c r="L10" s="30"/>
    </row>
    <row r="11" spans="1:12" x14ac:dyDescent="0.25">
      <c r="A11" s="31">
        <v>10</v>
      </c>
      <c r="B11" s="34">
        <v>263.58690999999999</v>
      </c>
      <c r="C11" s="30">
        <v>31.99044</v>
      </c>
      <c r="D11" s="30">
        <v>1.0128299999999999</v>
      </c>
      <c r="E11" s="29"/>
      <c r="F11" s="29"/>
      <c r="G11" s="35">
        <f t="shared" si="0"/>
        <v>2.4926128989362271</v>
      </c>
      <c r="H11" s="118">
        <f t="shared" si="1"/>
        <v>2.4926128989362271</v>
      </c>
      <c r="J11" s="29"/>
      <c r="K11" s="29"/>
      <c r="L11" s="30"/>
    </row>
    <row r="12" spans="1:12" x14ac:dyDescent="0.25">
      <c r="A12" s="31">
        <v>25</v>
      </c>
      <c r="B12" s="34">
        <v>277.53219999999999</v>
      </c>
      <c r="C12" s="30">
        <v>29.921430000000001</v>
      </c>
      <c r="D12" s="30">
        <v>0.99948999999999999</v>
      </c>
      <c r="E12" s="29"/>
      <c r="F12" s="29"/>
      <c r="G12" s="9">
        <f t="shared" si="0"/>
        <v>2.8497734024569179</v>
      </c>
      <c r="H12" s="9">
        <f t="shared" si="1"/>
        <v>2.8497734024569179</v>
      </c>
      <c r="J12" s="29"/>
      <c r="K12" s="29"/>
      <c r="L12" s="30"/>
    </row>
    <row r="13" spans="1:12" x14ac:dyDescent="0.25">
      <c r="A13" s="31">
        <v>50</v>
      </c>
      <c r="B13" s="34">
        <v>286.46476000000001</v>
      </c>
      <c r="C13" s="30">
        <v>28.597670000000001</v>
      </c>
      <c r="D13" s="30">
        <v>0.99095</v>
      </c>
      <c r="E13" s="29"/>
      <c r="F13" s="29"/>
      <c r="G13" s="9">
        <f t="shared" si="0"/>
        <v>3.1005214110915018</v>
      </c>
      <c r="H13" s="9">
        <f t="shared" si="1"/>
        <v>3.1005214110915018</v>
      </c>
    </row>
    <row r="14" spans="1:12" x14ac:dyDescent="0.25">
      <c r="A14" s="31">
        <v>100</v>
      </c>
      <c r="B14" s="34">
        <v>295.10935000000001</v>
      </c>
      <c r="C14" s="30">
        <v>27.28867</v>
      </c>
      <c r="D14" s="30">
        <v>0.98262000000000005</v>
      </c>
      <c r="E14" s="29"/>
      <c r="F14" s="29"/>
      <c r="G14" s="9">
        <f t="shared" si="0"/>
        <v>3.3628758223802535</v>
      </c>
      <c r="H14" s="9">
        <f t="shared" si="1"/>
        <v>3.3628758223802535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1.9718350892116399</v>
      </c>
      <c r="H9" s="9">
        <f t="shared" ref="H9:H14" si="1">B9/(C9+$D$5)^D9</f>
        <v>1.9718350892116399</v>
      </c>
      <c r="J9" s="29"/>
      <c r="K9" s="29"/>
      <c r="L9" s="30"/>
    </row>
    <row r="10" spans="1:12" x14ac:dyDescent="0.25">
      <c r="A10" s="31">
        <v>5</v>
      </c>
      <c r="B10" s="34">
        <v>254.71848</v>
      </c>
      <c r="C10" s="30">
        <v>33.335520000000002</v>
      </c>
      <c r="D10" s="30">
        <v>1.0214000000000001</v>
      </c>
      <c r="E10" s="29"/>
      <c r="F10" s="29"/>
      <c r="G10" s="9">
        <f t="shared" si="0"/>
        <v>2.2841137568349206</v>
      </c>
      <c r="H10" s="9">
        <f t="shared" si="1"/>
        <v>2.2841137568349206</v>
      </c>
      <c r="J10" s="29"/>
      <c r="K10" s="29"/>
      <c r="L10" s="30"/>
    </row>
    <row r="11" spans="1:12" x14ac:dyDescent="0.25">
      <c r="A11" s="31">
        <v>10</v>
      </c>
      <c r="B11" s="34">
        <v>264.71357</v>
      </c>
      <c r="C11" s="30">
        <v>31.821919999999999</v>
      </c>
      <c r="D11" s="30">
        <v>1.0117499999999999</v>
      </c>
      <c r="E11" s="29"/>
      <c r="F11" s="29"/>
      <c r="G11" s="35">
        <f t="shared" si="0"/>
        <v>2.5200500570624151</v>
      </c>
      <c r="H11" s="118">
        <f t="shared" si="1"/>
        <v>2.5200500570624151</v>
      </c>
      <c r="J11" s="29"/>
      <c r="K11" s="29"/>
      <c r="L11" s="30"/>
    </row>
    <row r="12" spans="1:12" x14ac:dyDescent="0.25">
      <c r="A12" s="31">
        <v>25</v>
      </c>
      <c r="B12" s="34">
        <v>276.98802000000001</v>
      </c>
      <c r="C12" s="30">
        <v>30.00177</v>
      </c>
      <c r="D12" s="30">
        <v>1.0000100000000001</v>
      </c>
      <c r="E12" s="29"/>
      <c r="F12" s="29"/>
      <c r="G12" s="9">
        <f t="shared" si="0"/>
        <v>2.8350850663324967</v>
      </c>
      <c r="H12" s="9">
        <f t="shared" si="1"/>
        <v>2.8350850663324967</v>
      </c>
      <c r="J12" s="29"/>
      <c r="K12" s="29"/>
      <c r="L12" s="30"/>
    </row>
    <row r="13" spans="1:12" x14ac:dyDescent="0.25">
      <c r="A13" s="31">
        <v>50</v>
      </c>
      <c r="B13" s="34">
        <v>286.34575000000001</v>
      </c>
      <c r="C13" s="30">
        <v>28.615590000000001</v>
      </c>
      <c r="D13" s="30">
        <v>0.99107000000000001</v>
      </c>
      <c r="E13" s="29"/>
      <c r="F13" s="29"/>
      <c r="G13" s="9">
        <f t="shared" si="0"/>
        <v>3.0969639364322563</v>
      </c>
      <c r="H13" s="9">
        <f t="shared" si="1"/>
        <v>3.0969639364322563</v>
      </c>
    </row>
    <row r="14" spans="1:12" x14ac:dyDescent="0.25">
      <c r="A14" s="31">
        <v>100</v>
      </c>
      <c r="B14" s="34">
        <v>294.57238000000001</v>
      </c>
      <c r="C14" s="30">
        <v>27.372150000000001</v>
      </c>
      <c r="D14" s="30">
        <v>0.98314000000000001</v>
      </c>
      <c r="E14" s="29"/>
      <c r="F14" s="29"/>
      <c r="G14" s="9">
        <f t="shared" si="0"/>
        <v>3.3459266009898747</v>
      </c>
      <c r="H14" s="9">
        <f t="shared" si="1"/>
        <v>3.3459266009898747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zoomScaleNormal="100" zoomScaleSheetLayoutView="100" workbookViewId="0">
      <selection activeCell="A111" sqref="A111"/>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424</v>
      </c>
    </row>
    <row r="3" spans="1:10" x14ac:dyDescent="0.25">
      <c r="A3" s="110" t="s">
        <v>425</v>
      </c>
      <c r="B3" s="46"/>
      <c r="C3" s="46"/>
      <c r="D3" s="46"/>
      <c r="E3" s="46"/>
      <c r="F3" s="46"/>
      <c r="G3" s="46"/>
    </row>
    <row r="4" spans="1:10" ht="8.25" customHeight="1" x14ac:dyDescent="0.25"/>
    <row r="5" spans="1:10" ht="19.5" customHeight="1" x14ac:dyDescent="0.25">
      <c r="A5" s="180" t="s">
        <v>426</v>
      </c>
      <c r="B5" s="180"/>
      <c r="C5" s="180"/>
      <c r="D5" s="180"/>
      <c r="E5" s="180"/>
      <c r="F5" s="180"/>
      <c r="G5" s="180"/>
      <c r="H5" s="180"/>
      <c r="I5" s="180"/>
      <c r="J5" s="169"/>
    </row>
    <row r="6" spans="1:10" ht="37.799999999999997" customHeight="1" x14ac:dyDescent="0.25">
      <c r="A6" s="180"/>
      <c r="B6" s="180"/>
      <c r="C6" s="180"/>
      <c r="D6" s="180"/>
      <c r="E6" s="180"/>
      <c r="F6" s="180"/>
      <c r="G6" s="180"/>
      <c r="H6" s="180"/>
      <c r="I6" s="180"/>
      <c r="J6" s="170"/>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5">
        <v>21.2</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3" t="s">
        <v>402</v>
      </c>
      <c r="B13" s="178" t="s">
        <v>407</v>
      </c>
      <c r="C13" s="178"/>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77" t="s">
        <v>6</v>
      </c>
      <c r="G15" s="177"/>
      <c r="H15" s="46"/>
      <c r="I15" s="46"/>
      <c r="J15" s="46"/>
    </row>
    <row r="16" spans="1:10" x14ac:dyDescent="0.25">
      <c r="A16" s="46"/>
      <c r="B16" s="46"/>
      <c r="C16" s="115">
        <v>3.95</v>
      </c>
      <c r="D16" s="50" t="s">
        <v>3</v>
      </c>
      <c r="E16" s="48">
        <f>IF(ISBLANK(F16),0,IF($B$13='Runoff Coeficients (C)'!$I$8,VLOOKUP(F16,'Runoff Coeficients (C)'!$C$8:$F$40,2,FALSE),IF($B$13='Runoff Coeficients (C)'!$I$9,VLOOKUP(F16,'Runoff Coeficients (C)'!$C$8:$F$40,3,FALSE),IF($B$13='Runoff Coeficients (C)'!$I$10,VLOOKUP(F16,'Runoff Coeficients (C)'!$C$8:$F$40,4,FALSE),"UPDATE"))))</f>
        <v>0.9</v>
      </c>
      <c r="F16" s="179" t="s">
        <v>372</v>
      </c>
      <c r="G16" s="179"/>
      <c r="H16" s="46"/>
      <c r="I16" s="46"/>
      <c r="J16" s="46"/>
    </row>
    <row r="17" spans="1:10" x14ac:dyDescent="0.25">
      <c r="A17" s="46"/>
      <c r="B17" s="46"/>
      <c r="C17" s="115">
        <v>8.06</v>
      </c>
      <c r="D17" s="50" t="s">
        <v>3</v>
      </c>
      <c r="E17" s="48">
        <f>IF(ISBLANK(F17),0,IF($B$13='Runoff Coeficients (C)'!$I$8,VLOOKUP(F17,'Runoff Coeficients (C)'!$C$8:$F$40,2,FALSE),IF($B$13='Runoff Coeficients (C)'!$I$9,VLOOKUP(F17,'Runoff Coeficients (C)'!$C$8:$F$40,3,FALSE),IF($B$13='Runoff Coeficients (C)'!$I$10,VLOOKUP(F17,'Runoff Coeficients (C)'!$C$8:$F$40,4,FALSE),"UPDATE"))))</f>
        <v>0.85</v>
      </c>
      <c r="F17" s="179" t="s">
        <v>376</v>
      </c>
      <c r="G17" s="179"/>
      <c r="H17" s="46"/>
      <c r="I17" s="46"/>
      <c r="J17" s="46"/>
    </row>
    <row r="18" spans="1:10" x14ac:dyDescent="0.25">
      <c r="A18" s="46"/>
      <c r="B18" s="46"/>
      <c r="C18" s="115">
        <v>5.0199999999999996</v>
      </c>
      <c r="D18" s="50" t="s">
        <v>3</v>
      </c>
      <c r="E18" s="48">
        <f>IF(ISBLANK(F18),0,IF($B$13='Runoff Coeficients (C)'!$I$8,VLOOKUP(F18,'Runoff Coeficients (C)'!$C$8:$F$40,2,FALSE),IF($B$13='Runoff Coeficients (C)'!$I$9,VLOOKUP(F18,'Runoff Coeficients (C)'!$C$8:$F$40,3,FALSE),IF($B$13='Runoff Coeficients (C)'!$I$10,VLOOKUP(F18,'Runoff Coeficients (C)'!$C$8:$F$40,4,FALSE),"UPDATE"))))</f>
        <v>0.25</v>
      </c>
      <c r="F18" s="179" t="s">
        <v>385</v>
      </c>
      <c r="G18" s="179"/>
      <c r="H18" s="46"/>
      <c r="I18" s="46"/>
      <c r="J18" s="46"/>
    </row>
    <row r="19" spans="1:10" x14ac:dyDescent="0.25">
      <c r="A19" s="46"/>
      <c r="B19" s="46"/>
      <c r="C19" s="115">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79" t="s">
        <v>381</v>
      </c>
      <c r="G19" s="179"/>
      <c r="H19" s="46"/>
      <c r="I19" s="46"/>
      <c r="J19" s="46"/>
    </row>
    <row r="20" spans="1:10" x14ac:dyDescent="0.25">
      <c r="A20" s="46"/>
      <c r="B20" s="46"/>
      <c r="C20" s="115">
        <v>4.17</v>
      </c>
      <c r="D20" s="50" t="s">
        <v>3</v>
      </c>
      <c r="E20" s="48">
        <f>IF(ISBLANK(F20),0,IF($B$13='Runoff Coeficients (C)'!$I$8,VLOOKUP(F20,'Runoff Coeficients (C)'!$C$8:$F$40,2,FALSE),IF($B$13='Runoff Coeficients (C)'!$I$9,VLOOKUP(F20,'Runoff Coeficients (C)'!$C$8:$F$40,3,FALSE),IF($B$13='Runoff Coeficients (C)'!$I$10,VLOOKUP(F20,'Runoff Coeficients (C)'!$C$8:$F$40,4,FALSE),"UPDATE"))))</f>
        <v>0.3</v>
      </c>
      <c r="F20" s="179" t="s">
        <v>396</v>
      </c>
      <c r="G20" s="179"/>
      <c r="H20" s="46"/>
      <c r="I20" s="46"/>
      <c r="J20" s="46"/>
    </row>
    <row r="21" spans="1:10" x14ac:dyDescent="0.25">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9" t="s">
        <v>397</v>
      </c>
      <c r="G21" s="179"/>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0.60905660377358484</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2" t="s">
        <v>159</v>
      </c>
      <c r="B26" s="46"/>
      <c r="C26" s="46"/>
      <c r="D26" s="46"/>
      <c r="E26" s="46"/>
      <c r="F26" s="46"/>
      <c r="G26" s="46"/>
      <c r="H26" s="46"/>
      <c r="I26" s="46"/>
      <c r="J26" s="46"/>
    </row>
    <row r="27" spans="1:10" x14ac:dyDescent="0.25">
      <c r="A27" s="46"/>
      <c r="B27" s="46"/>
      <c r="C27" s="46" t="s">
        <v>8</v>
      </c>
      <c r="D27" s="46"/>
      <c r="E27" s="46"/>
      <c r="F27" s="53">
        <f>'tc-pre'!D48</f>
        <v>1.1282304558553133</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2.0366433993548205</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2.5663590970359036</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2.8924886981164644</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3.1452294896997861</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3.3896392333945244</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0.60905660377358484</v>
      </c>
      <c r="E43" s="48">
        <f>G33</f>
        <v>2.0366433993548205</v>
      </c>
      <c r="F43" s="48">
        <f>$E$10</f>
        <v>21.2</v>
      </c>
      <c r="G43" s="50" t="s">
        <v>22</v>
      </c>
      <c r="H43" s="48">
        <f>C43*D43*E43*F43</f>
        <v>26.297139572469437</v>
      </c>
      <c r="I43" s="46" t="s">
        <v>33</v>
      </c>
    </row>
    <row r="44" spans="1:10" x14ac:dyDescent="0.25">
      <c r="A44" s="46"/>
      <c r="B44" s="50">
        <v>10</v>
      </c>
      <c r="C44" s="50">
        <v>1</v>
      </c>
      <c r="D44" s="48">
        <f>$H$23</f>
        <v>0.60905660377358484</v>
      </c>
      <c r="E44" s="48">
        <f>G34</f>
        <v>2.5663590970359036</v>
      </c>
      <c r="F44" s="48">
        <f>$E$10</f>
        <v>21.2</v>
      </c>
      <c r="G44" s="50" t="s">
        <v>22</v>
      </c>
      <c r="H44" s="48">
        <f>C44*D44*E44*F44</f>
        <v>33.136828660927584</v>
      </c>
      <c r="I44" s="46" t="s">
        <v>33</v>
      </c>
    </row>
    <row r="45" spans="1:10" x14ac:dyDescent="0.25">
      <c r="A45" s="46"/>
      <c r="B45" s="50">
        <v>25</v>
      </c>
      <c r="C45" s="50">
        <v>1.1000000000000001</v>
      </c>
      <c r="D45" s="48">
        <f>$H$23</f>
        <v>0.60905660377358484</v>
      </c>
      <c r="E45" s="48">
        <f>G35</f>
        <v>2.8924886981164644</v>
      </c>
      <c r="F45" s="48">
        <f>$E$10</f>
        <v>21.2</v>
      </c>
      <c r="G45" s="50" t="s">
        <v>22</v>
      </c>
      <c r="H45" s="48">
        <f>C45*D45*E45*F45</f>
        <v>41.082595477087764</v>
      </c>
      <c r="I45" s="46" t="s">
        <v>33</v>
      </c>
    </row>
    <row r="46" spans="1:10" x14ac:dyDescent="0.25">
      <c r="A46" s="46"/>
      <c r="B46" s="50">
        <v>50</v>
      </c>
      <c r="C46" s="50">
        <v>1.2</v>
      </c>
      <c r="D46" s="48">
        <f>$H$23</f>
        <v>0.60905660377358484</v>
      </c>
      <c r="E46" s="48">
        <f>G36</f>
        <v>3.1452294896997861</v>
      </c>
      <c r="F46" s="48">
        <f>$E$10</f>
        <v>21.2</v>
      </c>
      <c r="G46" s="50" t="s">
        <v>22</v>
      </c>
      <c r="H46" s="48">
        <f>C46*D46*E46*F46</f>
        <v>48.733443805204352</v>
      </c>
      <c r="I46" s="46" t="s">
        <v>33</v>
      </c>
    </row>
    <row r="47" spans="1:10" x14ac:dyDescent="0.25">
      <c r="A47" s="46"/>
      <c r="B47" s="50">
        <v>100</v>
      </c>
      <c r="C47" s="50">
        <v>1.25</v>
      </c>
      <c r="D47" s="48">
        <f>$H$23</f>
        <v>0.60905660377358484</v>
      </c>
      <c r="E47" s="48">
        <f>G37</f>
        <v>3.3896392333945244</v>
      </c>
      <c r="F47" s="48">
        <f>$E$10</f>
        <v>21.2</v>
      </c>
      <c r="G47" s="50" t="s">
        <v>22</v>
      </c>
      <c r="H47" s="48">
        <f>C47*D47*E47*F47</f>
        <v>54.708777226987614</v>
      </c>
      <c r="I47" s="46" t="s">
        <v>33</v>
      </c>
    </row>
    <row r="48" spans="1:10" x14ac:dyDescent="0.25">
      <c r="A48" s="46"/>
      <c r="B48" s="46"/>
      <c r="C48" s="50"/>
      <c r="D48" s="50"/>
      <c r="E48" s="48"/>
      <c r="F48" s="48"/>
      <c r="G48" s="50"/>
      <c r="H48" s="50"/>
      <c r="I48" s="59"/>
      <c r="J48" s="46"/>
    </row>
    <row r="50" spans="1:10" s="44" customFormat="1" x14ac:dyDescent="0.25">
      <c r="A50" s="44" t="str">
        <f>A2</f>
        <v>Outfall #16 [Rt.] Sta.527+70 (I-20)</v>
      </c>
    </row>
    <row r="51" spans="1:10" x14ac:dyDescent="0.25">
      <c r="A51" s="45" t="str">
        <f>A3</f>
        <v>[Outfall ditch]</v>
      </c>
      <c r="B51" s="46"/>
      <c r="C51" s="46"/>
      <c r="D51" s="46"/>
      <c r="E51" s="46"/>
      <c r="F51" s="46"/>
      <c r="G51" s="46"/>
      <c r="H51" s="46"/>
      <c r="I51" s="46"/>
      <c r="J51" s="46"/>
    </row>
    <row r="53" spans="1:10" x14ac:dyDescent="0.25">
      <c r="A53" s="42" t="s">
        <v>23</v>
      </c>
    </row>
    <row r="54" spans="1:10" ht="27.75" customHeight="1" x14ac:dyDescent="0.25">
      <c r="A54" s="180" t="s">
        <v>427</v>
      </c>
      <c r="B54" s="180"/>
      <c r="C54" s="180"/>
      <c r="D54" s="180"/>
      <c r="E54" s="180"/>
      <c r="F54" s="180"/>
      <c r="G54" s="180"/>
      <c r="H54" s="180"/>
      <c r="I54" s="180"/>
      <c r="J54" s="169"/>
    </row>
    <row r="56" spans="1:10" x14ac:dyDescent="0.25">
      <c r="A56" s="44" t="s">
        <v>24</v>
      </c>
    </row>
    <row r="58" spans="1:10" ht="55.5" customHeight="1" x14ac:dyDescent="0.25">
      <c r="A58" s="180" t="s">
        <v>428</v>
      </c>
      <c r="B58" s="180"/>
      <c r="C58" s="180"/>
      <c r="D58" s="180"/>
      <c r="E58" s="180"/>
      <c r="F58" s="180"/>
      <c r="G58" s="180"/>
      <c r="H58" s="180"/>
      <c r="I58" s="180"/>
      <c r="J58" s="169"/>
    </row>
    <row r="60" spans="1:10" x14ac:dyDescent="0.25">
      <c r="C60" s="43" t="s">
        <v>25</v>
      </c>
      <c r="G60" s="116">
        <v>21.2</v>
      </c>
      <c r="H60" s="43" t="s">
        <v>26</v>
      </c>
    </row>
    <row r="62" spans="1:10" x14ac:dyDescent="0.25">
      <c r="C62" s="43" t="s">
        <v>34</v>
      </c>
      <c r="G62" s="123">
        <f>C68-C16</f>
        <v>1.1200000000000001</v>
      </c>
      <c r="H62" s="43" t="s">
        <v>26</v>
      </c>
    </row>
    <row r="63" spans="1:10" x14ac:dyDescent="0.25">
      <c r="G63" s="60"/>
    </row>
    <row r="64" spans="1:10" x14ac:dyDescent="0.25">
      <c r="A64" s="61" t="s">
        <v>4</v>
      </c>
      <c r="B64" s="61"/>
      <c r="C64" s="61"/>
      <c r="D64" s="61"/>
    </row>
    <row r="65" spans="1:8" x14ac:dyDescent="0.25">
      <c r="A65" s="163" t="s">
        <v>402</v>
      </c>
      <c r="B65" s="178" t="s">
        <v>407</v>
      </c>
      <c r="C65" s="178"/>
    </row>
    <row r="67" spans="1:8" x14ac:dyDescent="0.25">
      <c r="C67" s="62" t="s">
        <v>2</v>
      </c>
      <c r="D67" s="62"/>
      <c r="E67" s="62" t="s">
        <v>5</v>
      </c>
      <c r="F67" s="176" t="s">
        <v>6</v>
      </c>
      <c r="G67" s="176"/>
    </row>
    <row r="68" spans="1:8" x14ac:dyDescent="0.25">
      <c r="C68" s="115">
        <v>5.07</v>
      </c>
      <c r="D68" s="50" t="s">
        <v>3</v>
      </c>
      <c r="E68" s="48">
        <f>IF(ISBLANK(F68),0,IF($B$65='Runoff Coeficients (C)'!$I$8,VLOOKUP(F68,'Runoff Coeficients (C)'!$C$8:$F$40,2,FALSE),IF($B$65='Runoff Coeficients (C)'!$I$9,VLOOKUP(F68,'Runoff Coeficients (C)'!$C$8:$F$40,3,FALSE),IF($B$65='Runoff Coeficients (C)'!$I$10,VLOOKUP(F68,'Runoff Coeficients (C)'!$C$8:$F$40,4,FALSE),"UPDATE"))))</f>
        <v>0.9</v>
      </c>
      <c r="F68" s="179" t="s">
        <v>372</v>
      </c>
      <c r="G68" s="179"/>
    </row>
    <row r="69" spans="1:8" ht="12.75" customHeight="1" x14ac:dyDescent="0.25">
      <c r="C69" s="115">
        <v>8.06</v>
      </c>
      <c r="D69" s="50" t="s">
        <v>3</v>
      </c>
      <c r="E69" s="48">
        <f>IF(ISBLANK(F69),0,IF($B$65='Runoff Coeficients (C)'!$I$8,VLOOKUP(F69,'Runoff Coeficients (C)'!$C$8:$F$40,2,FALSE),IF($B$65='Runoff Coeficients (C)'!$I$9,VLOOKUP(F69,'Runoff Coeficients (C)'!$C$8:$F$40,3,FALSE),IF($B$65='Runoff Coeficients (C)'!$I$10,VLOOKUP(F69,'Runoff Coeficients (C)'!$C$8:$F$40,4,FALSE),"UPDATE"))))</f>
        <v>0.85</v>
      </c>
      <c r="F69" s="179" t="s">
        <v>376</v>
      </c>
      <c r="G69" s="179"/>
    </row>
    <row r="70" spans="1:8" ht="12.75" customHeight="1" x14ac:dyDescent="0.25">
      <c r="C70" s="115">
        <v>3.9</v>
      </c>
      <c r="D70" s="50" t="s">
        <v>3</v>
      </c>
      <c r="E70" s="48">
        <f>IF(ISBLANK(F70),0,IF($B$65='Runoff Coeficients (C)'!$I$8,VLOOKUP(F70,'Runoff Coeficients (C)'!$C$8:$F$40,2,FALSE),IF($B$65='Runoff Coeficients (C)'!$I$9,VLOOKUP(F70,'Runoff Coeficients (C)'!$C$8:$F$40,3,FALSE),IF($B$65='Runoff Coeficients (C)'!$I$10,VLOOKUP(F70,'Runoff Coeficients (C)'!$C$8:$F$40,4,FALSE),"UPDATE"))))</f>
        <v>0.25</v>
      </c>
      <c r="F70" s="179" t="s">
        <v>385</v>
      </c>
      <c r="G70" s="179"/>
    </row>
    <row r="71" spans="1:8" ht="12.75" customHeight="1" x14ac:dyDescent="0.25">
      <c r="C71" s="115">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79" t="s">
        <v>381</v>
      </c>
      <c r="G71" s="179"/>
    </row>
    <row r="72" spans="1:8" x14ac:dyDescent="0.25">
      <c r="C72" s="115">
        <v>4.17</v>
      </c>
      <c r="D72" s="50" t="s">
        <v>3</v>
      </c>
      <c r="E72" s="48">
        <f>IF(ISBLANK(F72),0,IF($B$65='Runoff Coeficients (C)'!$I$8,VLOOKUP(F72,'Runoff Coeficients (C)'!$C$8:$F$40,2,FALSE),IF($B$65='Runoff Coeficients (C)'!$I$9,VLOOKUP(F72,'Runoff Coeficients (C)'!$C$8:$F$40,3,FALSE),IF($B$65='Runoff Coeficients (C)'!$I$10,VLOOKUP(F72,'Runoff Coeficients (C)'!$C$8:$F$40,4,FALSE),"UPDATE"))))</f>
        <v>0.3</v>
      </c>
      <c r="F72" s="179" t="s">
        <v>396</v>
      </c>
      <c r="G72" s="179"/>
    </row>
    <row r="73" spans="1:8" x14ac:dyDescent="0.25">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9" t="s">
        <v>397</v>
      </c>
      <c r="G73" s="179"/>
    </row>
    <row r="74" spans="1:8" x14ac:dyDescent="0.25">
      <c r="F74" s="50"/>
      <c r="G74" s="50"/>
    </row>
    <row r="75" spans="1:8" ht="12" customHeight="1" x14ac:dyDescent="0.25">
      <c r="F75" s="43" t="s">
        <v>7</v>
      </c>
      <c r="H75" s="52">
        <f>((C68*E68)+(C69*E69)+(C73*E73)+(C72*E72)+(C70*E70)+(C71*E71))/G60</f>
        <v>0.64339622641509442</v>
      </c>
    </row>
    <row r="77" spans="1:8" x14ac:dyDescent="0.25">
      <c r="A77" s="61" t="s">
        <v>10</v>
      </c>
      <c r="B77" s="61"/>
      <c r="C77" s="61"/>
      <c r="D77" s="61"/>
    </row>
    <row r="78" spans="1:8" x14ac:dyDescent="0.25">
      <c r="A78" s="62" t="str">
        <f>A26</f>
        <v>Lexington, SC</v>
      </c>
    </row>
    <row r="79" spans="1:8" x14ac:dyDescent="0.25">
      <c r="C79" s="43" t="s">
        <v>8</v>
      </c>
      <c r="F79" s="63">
        <f>IF('tc-pre'!E1="Yes",'tc-pre'!D48,IF('tc-pre'!E1="No",'tc-post'!D47,"Update"))</f>
        <v>1.1282304558553133</v>
      </c>
      <c r="G79" s="43" t="s">
        <v>11</v>
      </c>
    </row>
    <row r="80" spans="1:8" x14ac:dyDescent="0.25">
      <c r="C80" s="75" t="str">
        <f>IF('tc-pre'!E1="Yes","Pre-Construction Tc = Post-Construction Tc",IF('tc-pre'!E1="No","See Time of Concentration Worksheet","Update"))</f>
        <v>See Time of Concentration Worksheet</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2.0366433993548205</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2.5663590970359036</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2.8924886981164644</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3.1452294896997861</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3.3896392333945244</v>
      </c>
    </row>
    <row r="91" spans="1:10" x14ac:dyDescent="0.25">
      <c r="G91" s="66"/>
    </row>
    <row r="93" spans="1:10" s="44" customFormat="1" x14ac:dyDescent="0.25">
      <c r="A93" s="44" t="str">
        <f>A2</f>
        <v>Outfall #16 [Rt.] Sta.527+70 (I-20)</v>
      </c>
    </row>
    <row r="94" spans="1:10" x14ac:dyDescent="0.25">
      <c r="A94" s="45" t="str">
        <f>A3</f>
        <v>[Outfall ditch]</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0.64339622641509442</v>
      </c>
      <c r="E103" s="69">
        <f>G86</f>
        <v>2.0366433993548205</v>
      </c>
      <c r="F103" s="68">
        <f>$G$60</f>
        <v>21.2</v>
      </c>
      <c r="G103" s="62" t="s">
        <v>22</v>
      </c>
      <c r="H103" s="68">
        <f>C103*D103*E103*F103</f>
        <v>27.779815967199752</v>
      </c>
      <c r="I103" s="43" t="s">
        <v>33</v>
      </c>
    </row>
    <row r="104" spans="1:10" ht="12.75" customHeight="1" x14ac:dyDescent="0.25">
      <c r="B104" s="62">
        <v>10</v>
      </c>
      <c r="C104" s="62">
        <v>1</v>
      </c>
      <c r="D104" s="68">
        <f>$H$75</f>
        <v>0.64339622641509442</v>
      </c>
      <c r="E104" s="69">
        <f>G87</f>
        <v>2.5663590970359036</v>
      </c>
      <c r="F104" s="68">
        <f>$G$60</f>
        <v>21.2</v>
      </c>
      <c r="G104" s="62" t="s">
        <v>22</v>
      </c>
      <c r="H104" s="68">
        <f>C104*D104*E104*F104</f>
        <v>35.005138083569733</v>
      </c>
      <c r="I104" s="43" t="s">
        <v>33</v>
      </c>
    </row>
    <row r="105" spans="1:10" ht="12.75" customHeight="1" x14ac:dyDescent="0.25">
      <c r="B105" s="62">
        <v>25</v>
      </c>
      <c r="C105" s="62">
        <v>1.1000000000000001</v>
      </c>
      <c r="D105" s="68">
        <f>$H$75</f>
        <v>0.64339622641509442</v>
      </c>
      <c r="E105" s="69">
        <f>G88</f>
        <v>2.8924886981164644</v>
      </c>
      <c r="F105" s="68">
        <f>$G$60</f>
        <v>21.2</v>
      </c>
      <c r="G105" s="62" t="s">
        <v>22</v>
      </c>
      <c r="H105" s="68">
        <f>C105*D105*E105*F105</f>
        <v>43.398900426539441</v>
      </c>
      <c r="I105" s="43" t="s">
        <v>33</v>
      </c>
    </row>
    <row r="106" spans="1:10" ht="12.75" customHeight="1" x14ac:dyDescent="0.25">
      <c r="B106" s="62">
        <v>50</v>
      </c>
      <c r="C106" s="62">
        <v>1.2</v>
      </c>
      <c r="D106" s="68">
        <f>$H$75</f>
        <v>0.64339622641509442</v>
      </c>
      <c r="E106" s="69">
        <f>G89</f>
        <v>3.1452294896997861</v>
      </c>
      <c r="F106" s="68">
        <f>$G$60</f>
        <v>21.2</v>
      </c>
      <c r="G106" s="62" t="s">
        <v>22</v>
      </c>
      <c r="H106" s="68">
        <f>C106*D106*E106*F106</f>
        <v>51.481116287406103</v>
      </c>
      <c r="I106" s="43" t="s">
        <v>33</v>
      </c>
    </row>
    <row r="107" spans="1:10" ht="12.75" customHeight="1" x14ac:dyDescent="0.25">
      <c r="B107" s="62">
        <v>100</v>
      </c>
      <c r="C107" s="62">
        <v>1.25</v>
      </c>
      <c r="D107" s="68">
        <f>$H$75</f>
        <v>0.64339622641509442</v>
      </c>
      <c r="E107" s="69">
        <f>G90</f>
        <v>3.3896392333945244</v>
      </c>
      <c r="F107" s="68">
        <f>$G$60</f>
        <v>21.2</v>
      </c>
      <c r="G107" s="62" t="s">
        <v>22</v>
      </c>
      <c r="H107" s="68">
        <f>C107*D107*E107*F107</f>
        <v>57.793348929376648</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26.297139572469437</v>
      </c>
      <c r="E112" s="48">
        <f>H103</f>
        <v>27.779815967199752</v>
      </c>
      <c r="F112" s="48">
        <f>E112-D112</f>
        <v>1.4826763947303156</v>
      </c>
      <c r="G112" s="71">
        <f>F112/D112</f>
        <v>5.6381660470880057E-2</v>
      </c>
      <c r="H112" s="46"/>
      <c r="I112" s="46"/>
      <c r="J112" s="46"/>
    </row>
    <row r="113" spans="1:10" x14ac:dyDescent="0.25">
      <c r="A113" s="46"/>
      <c r="B113" s="46"/>
      <c r="C113" s="50">
        <v>10</v>
      </c>
      <c r="D113" s="48">
        <f>H44</f>
        <v>33.136828660927584</v>
      </c>
      <c r="E113" s="48">
        <f>H104</f>
        <v>35.005138083569733</v>
      </c>
      <c r="F113" s="48">
        <f>E113-D113</f>
        <v>1.8683094226421488</v>
      </c>
      <c r="G113" s="71">
        <f>F113/D113</f>
        <v>5.6381660470880141E-2</v>
      </c>
      <c r="H113" s="46"/>
      <c r="I113" s="46"/>
      <c r="J113" s="46"/>
    </row>
    <row r="114" spans="1:10" x14ac:dyDescent="0.25">
      <c r="A114" s="46"/>
      <c r="B114" s="46"/>
      <c r="C114" s="46"/>
      <c r="D114" s="46"/>
      <c r="E114" s="46"/>
      <c r="F114" s="46"/>
      <c r="G114" s="46"/>
      <c r="H114" s="46"/>
      <c r="I114" s="46"/>
      <c r="J114" s="46"/>
    </row>
    <row r="115" spans="1:10" ht="57.75" customHeight="1" x14ac:dyDescent="0.25">
      <c r="A115" s="180" t="s">
        <v>431</v>
      </c>
      <c r="B115" s="180"/>
      <c r="C115" s="180"/>
      <c r="D115" s="180"/>
      <c r="E115" s="180"/>
      <c r="F115" s="180"/>
      <c r="G115" s="180"/>
      <c r="H115" s="180"/>
      <c r="I115" s="180"/>
      <c r="J115" s="169"/>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173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1.9227259142600772</v>
      </c>
      <c r="H9" s="9">
        <f t="shared" ref="H9:H14" si="1">B9/(C9+$D$5)^D9</f>
        <v>1.9227259142600772</v>
      </c>
      <c r="J9" s="29"/>
      <c r="K9" s="29"/>
      <c r="L9" s="30"/>
    </row>
    <row r="10" spans="1:12" x14ac:dyDescent="0.25">
      <c r="A10" s="31">
        <v>5</v>
      </c>
      <c r="B10" s="34">
        <v>253.32925</v>
      </c>
      <c r="C10" s="30">
        <v>33.549219999999998</v>
      </c>
      <c r="D10" s="30">
        <v>1.02275</v>
      </c>
      <c r="E10" s="29"/>
      <c r="F10" s="29"/>
      <c r="G10" s="9">
        <f t="shared" si="0"/>
        <v>2.2526725667149319</v>
      </c>
      <c r="H10" s="9">
        <f t="shared" si="1"/>
        <v>2.2526725667149319</v>
      </c>
      <c r="J10" s="29"/>
      <c r="K10" s="29"/>
      <c r="L10" s="30"/>
    </row>
    <row r="11" spans="1:12" x14ac:dyDescent="0.25">
      <c r="A11" s="31">
        <v>10</v>
      </c>
      <c r="B11" s="34">
        <v>262.87425000000002</v>
      </c>
      <c r="C11" s="30">
        <v>32.097470000000001</v>
      </c>
      <c r="D11" s="30">
        <v>1.01352</v>
      </c>
      <c r="E11" s="29"/>
      <c r="F11" s="29"/>
      <c r="G11" s="35">
        <f t="shared" si="0"/>
        <v>2.475298877941404</v>
      </c>
      <c r="H11" s="118">
        <f t="shared" si="1"/>
        <v>2.475298877941404</v>
      </c>
      <c r="J11" s="29"/>
      <c r="K11" s="29"/>
      <c r="L11" s="30"/>
    </row>
    <row r="12" spans="1:12" x14ac:dyDescent="0.25">
      <c r="A12" s="31">
        <v>25</v>
      </c>
      <c r="B12" s="34">
        <v>276.43448999999998</v>
      </c>
      <c r="C12" s="30">
        <v>30.083480000000002</v>
      </c>
      <c r="D12" s="30">
        <v>1.00054</v>
      </c>
      <c r="E12" s="29"/>
      <c r="F12" s="29"/>
      <c r="G12" s="9">
        <f t="shared" si="0"/>
        <v>2.820196868750839</v>
      </c>
      <c r="H12" s="9">
        <f t="shared" si="1"/>
        <v>2.820196868750839</v>
      </c>
      <c r="J12" s="29"/>
      <c r="K12" s="29"/>
      <c r="L12" s="30"/>
    </row>
    <row r="13" spans="1:12" x14ac:dyDescent="0.25">
      <c r="A13" s="31">
        <v>50</v>
      </c>
      <c r="B13" s="34">
        <v>285.47241000000002</v>
      </c>
      <c r="C13" s="30">
        <v>28.74568</v>
      </c>
      <c r="D13" s="30">
        <v>0.9919</v>
      </c>
      <c r="E13" s="29"/>
      <c r="F13" s="29"/>
      <c r="G13" s="9">
        <f t="shared" si="0"/>
        <v>3.0717199872470493</v>
      </c>
      <c r="H13" s="9">
        <f t="shared" si="1"/>
        <v>3.0717199872470493</v>
      </c>
    </row>
    <row r="14" spans="1:12" x14ac:dyDescent="0.25">
      <c r="A14" s="31">
        <v>100</v>
      </c>
      <c r="B14" s="34">
        <v>293.96606000000003</v>
      </c>
      <c r="C14" s="30">
        <v>27.46491</v>
      </c>
      <c r="D14" s="30">
        <v>0.98372999999999999</v>
      </c>
      <c r="E14" s="29"/>
      <c r="F14" s="29"/>
      <c r="G14" s="9">
        <f t="shared" si="0"/>
        <v>3.3268857028957934</v>
      </c>
      <c r="H14" s="9">
        <f t="shared" si="1"/>
        <v>3.3268857028957934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2.3223192066162928</v>
      </c>
      <c r="H9" s="9">
        <f t="shared" ref="H9:H14" si="1">B9/(C9+$D$5)^D9</f>
        <v>2.3223192066162928</v>
      </c>
      <c r="J9" s="29"/>
      <c r="K9" s="29"/>
      <c r="L9" s="30"/>
    </row>
    <row r="10" spans="1:12" x14ac:dyDescent="0.25">
      <c r="A10" s="31">
        <v>5</v>
      </c>
      <c r="B10" s="34">
        <v>269.50522000000001</v>
      </c>
      <c r="C10" s="30">
        <v>31.108280000000001</v>
      </c>
      <c r="D10" s="30">
        <v>1.0071600000000001</v>
      </c>
      <c r="E10" s="29"/>
      <c r="F10" s="29"/>
      <c r="G10" s="9">
        <f t="shared" si="0"/>
        <v>2.639480437475338</v>
      </c>
      <c r="H10" s="9">
        <f t="shared" si="1"/>
        <v>2.639480437475338</v>
      </c>
      <c r="J10" s="29"/>
      <c r="K10" s="29"/>
      <c r="L10" s="30"/>
    </row>
    <row r="11" spans="1:12" x14ac:dyDescent="0.25">
      <c r="A11" s="31">
        <v>10</v>
      </c>
      <c r="B11" s="34">
        <v>277.79628000000002</v>
      </c>
      <c r="C11" s="30">
        <v>28.882449999999999</v>
      </c>
      <c r="D11" s="30">
        <v>0.99924000000000002</v>
      </c>
      <c r="E11" s="29"/>
      <c r="F11" s="29"/>
      <c r="G11" s="35">
        <f t="shared" si="0"/>
        <v>2.8864528406881225</v>
      </c>
      <c r="H11" s="118">
        <f t="shared" si="1"/>
        <v>2.8864528406881225</v>
      </c>
      <c r="J11" s="29"/>
      <c r="K11" s="29"/>
      <c r="L11" s="30"/>
    </row>
    <row r="12" spans="1:12" x14ac:dyDescent="0.25">
      <c r="A12" s="31">
        <v>25</v>
      </c>
      <c r="B12" s="34">
        <v>288.37076999999999</v>
      </c>
      <c r="C12" s="30">
        <v>28.31259</v>
      </c>
      <c r="D12" s="30">
        <v>0.98912</v>
      </c>
      <c r="E12" s="29"/>
      <c r="F12" s="29"/>
      <c r="G12" s="9">
        <f t="shared" si="0"/>
        <v>3.1565916285772047</v>
      </c>
      <c r="H12" s="9">
        <f t="shared" si="1"/>
        <v>3.1565916285772047</v>
      </c>
      <c r="J12" s="29"/>
      <c r="K12" s="29"/>
      <c r="L12" s="30"/>
    </row>
    <row r="13" spans="1:12" x14ac:dyDescent="0.25">
      <c r="A13" s="31">
        <v>50</v>
      </c>
      <c r="B13" s="34">
        <v>295.59257000000002</v>
      </c>
      <c r="C13" s="30">
        <v>27.21407</v>
      </c>
      <c r="D13" s="30">
        <v>0.98214999999999997</v>
      </c>
      <c r="E13" s="29"/>
      <c r="F13" s="29"/>
      <c r="G13" s="9">
        <f t="shared" si="0"/>
        <v>3.3782050636857113</v>
      </c>
      <c r="H13" s="9">
        <f t="shared" si="1"/>
        <v>3.3782050636857113</v>
      </c>
    </row>
    <row r="14" spans="1:12" x14ac:dyDescent="0.25">
      <c r="A14" s="31">
        <v>100</v>
      </c>
      <c r="B14" s="34">
        <v>302.0052</v>
      </c>
      <c r="C14" s="30">
        <v>26.200060000000001</v>
      </c>
      <c r="D14" s="30">
        <v>0.97585999999999995</v>
      </c>
      <c r="E14" s="29"/>
      <c r="F14" s="29"/>
      <c r="G14" s="9">
        <f t="shared" si="0"/>
        <v>3.5891909648563698</v>
      </c>
      <c r="H14" s="9">
        <f t="shared" si="1"/>
        <v>3.5891909648563698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2.0842269905681645</v>
      </c>
      <c r="H9" s="9">
        <f t="shared" ref="H9:H14" si="1">B9/(C9+$D$5)^D9</f>
        <v>2.0842269905681645</v>
      </c>
      <c r="J9" s="29"/>
      <c r="K9" s="29"/>
      <c r="L9" s="30"/>
    </row>
    <row r="10" spans="1:12" x14ac:dyDescent="0.25">
      <c r="A10" s="31">
        <v>5</v>
      </c>
      <c r="B10" s="34">
        <v>258.82004999999998</v>
      </c>
      <c r="C10" s="30">
        <v>32.709200000000003</v>
      </c>
      <c r="D10" s="30">
        <v>1.01742</v>
      </c>
      <c r="E10" s="29"/>
      <c r="F10" s="29"/>
      <c r="G10" s="9">
        <f t="shared" si="0"/>
        <v>2.378924612222435</v>
      </c>
      <c r="H10" s="9">
        <f t="shared" si="1"/>
        <v>2.378924612222435</v>
      </c>
      <c r="J10" s="29"/>
      <c r="K10" s="29"/>
      <c r="L10" s="30"/>
    </row>
    <row r="11" spans="1:12" x14ac:dyDescent="0.25">
      <c r="A11" s="31">
        <v>10</v>
      </c>
      <c r="B11" s="34">
        <v>268.10935999999998</v>
      </c>
      <c r="C11" s="30">
        <v>31.315519999999999</v>
      </c>
      <c r="D11" s="30">
        <v>1.0085</v>
      </c>
      <c r="E11" s="29"/>
      <c r="F11" s="29"/>
      <c r="G11" s="35">
        <f t="shared" si="0"/>
        <v>2.6041891823316785</v>
      </c>
      <c r="H11" s="118">
        <f t="shared" si="1"/>
        <v>2.6041891823316785</v>
      </c>
      <c r="J11" s="29"/>
      <c r="K11" s="29"/>
      <c r="L11" s="30"/>
    </row>
    <row r="12" spans="1:12" x14ac:dyDescent="0.25">
      <c r="A12" s="31">
        <v>25</v>
      </c>
      <c r="B12" s="34">
        <v>280.32646</v>
      </c>
      <c r="C12" s="30">
        <v>29.508700000000001</v>
      </c>
      <c r="D12" s="30">
        <v>0.99682000000000004</v>
      </c>
      <c r="E12" s="29"/>
      <c r="F12" s="29"/>
      <c r="G12" s="9">
        <f t="shared" si="0"/>
        <v>2.9262225332111247</v>
      </c>
      <c r="H12" s="9">
        <f t="shared" si="1"/>
        <v>2.9262225332111247</v>
      </c>
      <c r="J12" s="29"/>
      <c r="K12" s="29"/>
      <c r="L12" s="30"/>
    </row>
    <row r="13" spans="1:12" x14ac:dyDescent="0.25">
      <c r="A13" s="31">
        <v>50</v>
      </c>
      <c r="B13" s="34">
        <v>288.72570999999999</v>
      </c>
      <c r="C13" s="30">
        <v>28.259239999999998</v>
      </c>
      <c r="D13" s="30">
        <v>0.98877999999999999</v>
      </c>
      <c r="E13" s="29"/>
      <c r="F13" s="29"/>
      <c r="G13" s="9">
        <f t="shared" si="0"/>
        <v>3.1671256673860775</v>
      </c>
      <c r="H13" s="9">
        <f t="shared" si="1"/>
        <v>3.1671256673860775</v>
      </c>
    </row>
    <row r="14" spans="1:12" x14ac:dyDescent="0.25">
      <c r="A14" s="31">
        <v>100</v>
      </c>
      <c r="B14" s="34">
        <v>296.68747999999999</v>
      </c>
      <c r="C14" s="30">
        <v>27.044270000000001</v>
      </c>
      <c r="D14" s="30">
        <v>0.98107999999999995</v>
      </c>
      <c r="E14" s="29"/>
      <c r="F14" s="29"/>
      <c r="G14" s="9">
        <f t="shared" si="0"/>
        <v>3.413268147089128</v>
      </c>
      <c r="H14" s="9">
        <f t="shared" si="1"/>
        <v>3.413268147089128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1.9588772175329474</v>
      </c>
      <c r="H9" s="9">
        <f t="shared" ref="H9:H14" si="1">B9/(C9+$D$5)^D9</f>
        <v>1.9588772175329474</v>
      </c>
      <c r="J9" s="29"/>
      <c r="K9" s="29"/>
      <c r="L9" s="30"/>
    </row>
    <row r="10" spans="1:12" x14ac:dyDescent="0.25">
      <c r="A10" s="31">
        <v>5</v>
      </c>
      <c r="B10" s="34">
        <v>254.10798</v>
      </c>
      <c r="C10" s="30">
        <v>33.429119999999998</v>
      </c>
      <c r="D10" s="30">
        <v>1.02199</v>
      </c>
      <c r="E10" s="29"/>
      <c r="F10" s="29"/>
      <c r="G10" s="9">
        <f t="shared" si="0"/>
        <v>2.2702931529587365</v>
      </c>
      <c r="H10" s="9">
        <f t="shared" si="1"/>
        <v>2.2702931529587365</v>
      </c>
      <c r="J10" s="29"/>
      <c r="K10" s="29"/>
      <c r="L10" s="30"/>
    </row>
    <row r="11" spans="1:12" x14ac:dyDescent="0.25">
      <c r="A11" s="31">
        <v>10</v>
      </c>
      <c r="B11" s="34">
        <v>264.19040000000001</v>
      </c>
      <c r="C11" s="30">
        <v>31.900130000000001</v>
      </c>
      <c r="D11" s="30">
        <v>1.0122500000000001</v>
      </c>
      <c r="E11" s="29"/>
      <c r="F11" s="29"/>
      <c r="G11" s="35">
        <f t="shared" si="0"/>
        <v>2.5072964684225894</v>
      </c>
      <c r="H11" s="118">
        <f t="shared" si="1"/>
        <v>2.5072964684225894</v>
      </c>
      <c r="J11" s="29"/>
      <c r="K11" s="29"/>
      <c r="L11" s="30"/>
    </row>
    <row r="12" spans="1:12" x14ac:dyDescent="0.25">
      <c r="A12" s="31">
        <v>25</v>
      </c>
      <c r="B12" s="34">
        <v>277.46460000000002</v>
      </c>
      <c r="C12" s="30">
        <v>29.93141</v>
      </c>
      <c r="D12" s="30">
        <v>0.99956</v>
      </c>
      <c r="E12" s="29"/>
      <c r="F12" s="29"/>
      <c r="G12" s="9">
        <f t="shared" si="0"/>
        <v>2.8478747601786054</v>
      </c>
      <c r="H12" s="9">
        <f t="shared" si="1"/>
        <v>2.8478747601786054</v>
      </c>
      <c r="J12" s="29"/>
      <c r="K12" s="29"/>
      <c r="L12" s="30"/>
    </row>
    <row r="13" spans="1:12" x14ac:dyDescent="0.25">
      <c r="A13" s="31">
        <v>50</v>
      </c>
      <c r="B13" s="34">
        <v>286.11426999999998</v>
      </c>
      <c r="C13" s="30">
        <v>28.650040000000001</v>
      </c>
      <c r="D13" s="30">
        <v>0.99129</v>
      </c>
      <c r="E13" s="29"/>
      <c r="F13" s="29"/>
      <c r="G13" s="9">
        <f t="shared" si="0"/>
        <v>3.090256660610009</v>
      </c>
      <c r="H13" s="9">
        <f t="shared" si="1"/>
        <v>3.090256660610009</v>
      </c>
    </row>
    <row r="14" spans="1:12" x14ac:dyDescent="0.25">
      <c r="A14" s="31">
        <v>100</v>
      </c>
      <c r="B14" s="34">
        <v>294.58067999999997</v>
      </c>
      <c r="C14" s="30">
        <v>27.370539999999998</v>
      </c>
      <c r="D14" s="30">
        <v>0.98312999999999995</v>
      </c>
      <c r="E14" s="29"/>
      <c r="F14" s="29"/>
      <c r="G14" s="9">
        <f t="shared" si="0"/>
        <v>3.3462289920468598</v>
      </c>
      <c r="H14" s="9">
        <f t="shared" si="1"/>
        <v>3.3462289920468598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1.9124854470376993</v>
      </c>
      <c r="H9" s="9">
        <f t="shared" ref="H9:H14" si="1">B9/(C9+$D$5)^D9</f>
        <v>1.9124854470376993</v>
      </c>
      <c r="J9" s="29"/>
      <c r="K9" s="29"/>
      <c r="L9" s="30"/>
    </row>
    <row r="10" spans="1:12" x14ac:dyDescent="0.25">
      <c r="A10" s="31">
        <v>5</v>
      </c>
      <c r="B10" s="34">
        <v>253.41210000000001</v>
      </c>
      <c r="C10" s="30">
        <v>33.536160000000002</v>
      </c>
      <c r="D10" s="30">
        <v>1.0226599999999999</v>
      </c>
      <c r="E10" s="29"/>
      <c r="F10" s="29"/>
      <c r="G10" s="9">
        <f t="shared" si="0"/>
        <v>2.2546433826531329</v>
      </c>
      <c r="H10" s="9">
        <f t="shared" si="1"/>
        <v>2.2546433826531329</v>
      </c>
      <c r="J10" s="29"/>
      <c r="K10" s="29"/>
      <c r="L10" s="30"/>
    </row>
    <row r="11" spans="1:12" x14ac:dyDescent="0.25">
      <c r="A11" s="31">
        <v>10</v>
      </c>
      <c r="B11" s="34">
        <v>263.81267000000003</v>
      </c>
      <c r="C11" s="30">
        <v>31.956610000000001</v>
      </c>
      <c r="D11" s="30">
        <v>1.0126200000000001</v>
      </c>
      <c r="E11" s="29"/>
      <c r="F11" s="29"/>
      <c r="G11" s="35">
        <f t="shared" si="0"/>
        <v>2.4980183979787896</v>
      </c>
      <c r="H11" s="118">
        <f t="shared" si="1"/>
        <v>2.4980183979787896</v>
      </c>
      <c r="J11" s="29"/>
      <c r="K11" s="29"/>
      <c r="L11" s="30"/>
    </row>
    <row r="12" spans="1:12" x14ac:dyDescent="0.25">
      <c r="A12" s="31">
        <v>25</v>
      </c>
      <c r="B12" s="34">
        <v>277.26485000000002</v>
      </c>
      <c r="C12" s="30">
        <v>29.960899999999999</v>
      </c>
      <c r="D12" s="30">
        <v>0.99975000000000003</v>
      </c>
      <c r="E12" s="29"/>
      <c r="F12" s="29"/>
      <c r="G12" s="9">
        <f t="shared" si="0"/>
        <v>2.8424901425426317</v>
      </c>
      <c r="H12" s="9">
        <f t="shared" si="1"/>
        <v>2.8424901425426317</v>
      </c>
      <c r="J12" s="29"/>
      <c r="K12" s="29"/>
      <c r="L12" s="30"/>
    </row>
    <row r="13" spans="1:12" x14ac:dyDescent="0.25">
      <c r="A13" s="31">
        <v>50</v>
      </c>
      <c r="B13" s="34">
        <v>286.66127999999998</v>
      </c>
      <c r="C13" s="30">
        <v>28.568349999999999</v>
      </c>
      <c r="D13" s="30">
        <v>0.99075999999999997</v>
      </c>
      <c r="E13" s="29"/>
      <c r="F13" s="29"/>
      <c r="G13" s="9">
        <f t="shared" si="0"/>
        <v>3.1062791777810572</v>
      </c>
      <c r="H13" s="9">
        <f t="shared" si="1"/>
        <v>3.1062791777810572</v>
      </c>
    </row>
    <row r="14" spans="1:12" x14ac:dyDescent="0.25">
      <c r="A14" s="31">
        <v>100</v>
      </c>
      <c r="B14" s="34">
        <v>295.16735</v>
      </c>
      <c r="C14" s="30">
        <v>27.279720000000001</v>
      </c>
      <c r="D14" s="30">
        <v>0.98255999999999999</v>
      </c>
      <c r="E14" s="29"/>
      <c r="F14" s="29"/>
      <c r="G14" s="9">
        <f t="shared" si="0"/>
        <v>3.3647673950204293</v>
      </c>
      <c r="H14" s="9">
        <f t="shared" si="1"/>
        <v>3.3647673950204293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131</v>
      </c>
    </row>
    <row r="3" spans="1:11" x14ac:dyDescent="0.25">
      <c r="K3" t="s">
        <v>132</v>
      </c>
    </row>
    <row r="4" spans="1:11" x14ac:dyDescent="0.25">
      <c r="A4" s="207" t="s">
        <v>116</v>
      </c>
      <c r="B4" s="207"/>
      <c r="C4" s="207"/>
      <c r="D4" s="207"/>
      <c r="E4" s="207"/>
      <c r="K4" t="s">
        <v>133</v>
      </c>
    </row>
    <row r="5" spans="1:11" x14ac:dyDescent="0.25">
      <c r="A5" s="207"/>
      <c r="B5" s="207"/>
      <c r="C5" s="207"/>
      <c r="D5" s="207"/>
      <c r="E5" s="207"/>
      <c r="K5" t="s">
        <v>134</v>
      </c>
    </row>
    <row r="6" spans="1:11" ht="26.4" x14ac:dyDescent="0.25">
      <c r="A6" s="38" t="s">
        <v>117</v>
      </c>
      <c r="B6" s="39" t="s">
        <v>118</v>
      </c>
      <c r="C6" s="39" t="s">
        <v>119</v>
      </c>
      <c r="D6" s="39" t="s">
        <v>120</v>
      </c>
      <c r="E6" s="39" t="s">
        <v>121</v>
      </c>
    </row>
    <row r="7" spans="1:11" x14ac:dyDescent="0.25">
      <c r="A7" s="4" t="s">
        <v>122</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123</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124</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125</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4" t="s">
        <v>172</v>
      </c>
      <c r="C2" s="204"/>
      <c r="D2" s="204"/>
      <c r="E2" s="204"/>
      <c r="F2" s="204"/>
      <c r="G2" s="204"/>
      <c r="H2" s="204"/>
      <c r="I2" s="204"/>
      <c r="J2" s="204"/>
    </row>
    <row r="3" spans="2:10" ht="13.8" thickBot="1" x14ac:dyDescent="0.3">
      <c r="B3" s="129" t="s">
        <v>170</v>
      </c>
      <c r="C3" s="130">
        <v>1</v>
      </c>
      <c r="D3" s="130">
        <v>2</v>
      </c>
      <c r="E3" s="130">
        <v>5</v>
      </c>
      <c r="F3" s="130">
        <v>10</v>
      </c>
      <c r="G3" s="130">
        <v>25</v>
      </c>
      <c r="H3" s="130">
        <v>50</v>
      </c>
      <c r="I3" s="130">
        <v>100</v>
      </c>
      <c r="J3" s="131" t="s">
        <v>171</v>
      </c>
    </row>
    <row r="4" spans="2:10" x14ac:dyDescent="0.25">
      <c r="B4" s="128" t="s">
        <v>143</v>
      </c>
      <c r="C4" s="132">
        <v>3.2</v>
      </c>
      <c r="D4" s="132">
        <v>3.5</v>
      </c>
      <c r="E4" s="132">
        <v>4.4000000000000004</v>
      </c>
      <c r="F4" s="132">
        <v>5.2</v>
      </c>
      <c r="G4" s="132">
        <v>6.5</v>
      </c>
      <c r="H4" s="132">
        <v>7.7</v>
      </c>
      <c r="I4" s="132">
        <v>9.1999999999999993</v>
      </c>
      <c r="J4" s="136">
        <v>250</v>
      </c>
    </row>
    <row r="5" spans="2:10" x14ac:dyDescent="0.25">
      <c r="B5" s="126" t="s">
        <v>144</v>
      </c>
      <c r="C5" s="133">
        <v>3.2</v>
      </c>
      <c r="D5" s="133">
        <v>3.7</v>
      </c>
      <c r="E5" s="133">
        <v>4.5999999999999996</v>
      </c>
      <c r="F5" s="133">
        <v>5.3</v>
      </c>
      <c r="G5" s="133">
        <v>6.5</v>
      </c>
      <c r="H5" s="133">
        <v>7.4</v>
      </c>
      <c r="I5" s="133">
        <v>8.4</v>
      </c>
      <c r="J5" s="137">
        <v>250</v>
      </c>
    </row>
    <row r="6" spans="2:10" x14ac:dyDescent="0.25">
      <c r="B6" s="125" t="s">
        <v>174</v>
      </c>
      <c r="C6" s="134">
        <v>3.4</v>
      </c>
      <c r="D6" s="134">
        <v>3.8</v>
      </c>
      <c r="E6" s="134">
        <v>5.0999999999999996</v>
      </c>
      <c r="F6" s="134">
        <v>6</v>
      </c>
      <c r="G6" s="134">
        <v>7</v>
      </c>
      <c r="H6" s="134">
        <v>7.8</v>
      </c>
      <c r="I6" s="134">
        <v>8.9</v>
      </c>
      <c r="J6" s="138">
        <v>300</v>
      </c>
    </row>
    <row r="7" spans="2:10" x14ac:dyDescent="0.25">
      <c r="B7" s="126" t="s">
        <v>145</v>
      </c>
      <c r="C7" s="133">
        <v>3.3</v>
      </c>
      <c r="D7" s="133">
        <v>3.6</v>
      </c>
      <c r="E7" s="133">
        <v>4.5</v>
      </c>
      <c r="F7" s="133">
        <v>5.5</v>
      </c>
      <c r="G7" s="133">
        <v>6.6</v>
      </c>
      <c r="H7" s="133">
        <v>7.9</v>
      </c>
      <c r="I7" s="133">
        <v>9.4</v>
      </c>
      <c r="J7" s="137">
        <v>275</v>
      </c>
    </row>
    <row r="8" spans="2:10" x14ac:dyDescent="0.25">
      <c r="B8" s="125" t="s">
        <v>175</v>
      </c>
      <c r="C8" s="134">
        <v>3.4</v>
      </c>
      <c r="D8" s="134">
        <v>3.6</v>
      </c>
      <c r="E8" s="134">
        <v>4.5999999999999996</v>
      </c>
      <c r="F8" s="134">
        <v>5.5</v>
      </c>
      <c r="G8" s="134">
        <v>6.8</v>
      </c>
      <c r="H8" s="134">
        <v>8.1</v>
      </c>
      <c r="I8" s="134">
        <v>9.4</v>
      </c>
      <c r="J8" s="138">
        <v>300</v>
      </c>
    </row>
    <row r="9" spans="2:10" x14ac:dyDescent="0.25">
      <c r="B9" s="126" t="s">
        <v>176</v>
      </c>
      <c r="C9" s="133">
        <v>3.3</v>
      </c>
      <c r="D9" s="133">
        <v>3.6</v>
      </c>
      <c r="E9" s="133">
        <v>4.5</v>
      </c>
      <c r="F9" s="133">
        <v>5.3</v>
      </c>
      <c r="G9" s="133">
        <v>6.4</v>
      </c>
      <c r="H9" s="133">
        <v>7.3</v>
      </c>
      <c r="I9" s="133">
        <v>8.4</v>
      </c>
      <c r="J9" s="137">
        <v>275</v>
      </c>
    </row>
    <row r="10" spans="2:10" x14ac:dyDescent="0.25">
      <c r="B10" s="125" t="s">
        <v>177</v>
      </c>
      <c r="C10" s="134">
        <v>3.7</v>
      </c>
      <c r="D10" s="134">
        <v>4.5</v>
      </c>
      <c r="E10" s="134">
        <v>5.8</v>
      </c>
      <c r="F10" s="134">
        <v>6.9</v>
      </c>
      <c r="G10" s="134">
        <v>8.4</v>
      </c>
      <c r="H10" s="134">
        <v>9.6999999999999993</v>
      </c>
      <c r="I10" s="134">
        <v>11</v>
      </c>
      <c r="J10" s="138">
        <v>400</v>
      </c>
    </row>
    <row r="11" spans="2:10" x14ac:dyDescent="0.25">
      <c r="B11" s="126" t="s">
        <v>178</v>
      </c>
      <c r="C11" s="133">
        <v>3.5</v>
      </c>
      <c r="D11" s="133">
        <v>3.8</v>
      </c>
      <c r="E11" s="133">
        <v>5</v>
      </c>
      <c r="F11" s="133">
        <v>5.9</v>
      </c>
      <c r="G11" s="133">
        <v>7.2</v>
      </c>
      <c r="H11" s="133">
        <v>8.1999999999999993</v>
      </c>
      <c r="I11" s="133">
        <v>9.4</v>
      </c>
      <c r="J11" s="137">
        <v>350</v>
      </c>
    </row>
    <row r="12" spans="2:10" x14ac:dyDescent="0.25">
      <c r="B12" s="125" t="s">
        <v>179</v>
      </c>
      <c r="C12" s="134">
        <v>3.6</v>
      </c>
      <c r="D12" s="134">
        <v>4</v>
      </c>
      <c r="E12" s="134">
        <v>5.2</v>
      </c>
      <c r="F12" s="134">
        <v>6.2</v>
      </c>
      <c r="G12" s="134">
        <v>7.5</v>
      </c>
      <c r="H12" s="134">
        <v>8.6</v>
      </c>
      <c r="I12" s="134">
        <v>9.8000000000000007</v>
      </c>
      <c r="J12" s="138">
        <v>350</v>
      </c>
    </row>
    <row r="13" spans="2:10" x14ac:dyDescent="0.25">
      <c r="B13" s="126" t="s">
        <v>180</v>
      </c>
      <c r="C13" s="133">
        <v>3.3</v>
      </c>
      <c r="D13" s="133">
        <v>3.5</v>
      </c>
      <c r="E13" s="133">
        <v>4.5</v>
      </c>
      <c r="F13" s="133">
        <v>5.4</v>
      </c>
      <c r="G13" s="133">
        <v>6.7</v>
      </c>
      <c r="H13" s="133">
        <v>7.9</v>
      </c>
      <c r="I13" s="133">
        <v>9.3000000000000007</v>
      </c>
      <c r="J13" s="137">
        <v>275</v>
      </c>
    </row>
    <row r="14" spans="2:10" x14ac:dyDescent="0.25">
      <c r="B14" s="125" t="s">
        <v>148</v>
      </c>
      <c r="C14" s="134">
        <v>3.8</v>
      </c>
      <c r="D14" s="134">
        <v>4.3</v>
      </c>
      <c r="E14" s="134">
        <v>5.5</v>
      </c>
      <c r="F14" s="134">
        <v>6.6</v>
      </c>
      <c r="G14" s="134">
        <v>8</v>
      </c>
      <c r="H14" s="134">
        <v>9.1999999999999993</v>
      </c>
      <c r="I14" s="134">
        <v>10.4</v>
      </c>
      <c r="J14" s="138">
        <v>400</v>
      </c>
    </row>
    <row r="15" spans="2:10" x14ac:dyDescent="0.25">
      <c r="B15" s="126" t="s">
        <v>181</v>
      </c>
      <c r="C15" s="133">
        <v>3</v>
      </c>
      <c r="D15" s="133">
        <v>3.7</v>
      </c>
      <c r="E15" s="133">
        <v>4.7</v>
      </c>
      <c r="F15" s="133">
        <v>5.4</v>
      </c>
      <c r="G15" s="133">
        <v>6.4</v>
      </c>
      <c r="H15" s="133">
        <v>7.3</v>
      </c>
      <c r="I15" s="133">
        <v>8.1</v>
      </c>
      <c r="J15" s="137">
        <v>275</v>
      </c>
    </row>
    <row r="16" spans="2:10" x14ac:dyDescent="0.25">
      <c r="B16" s="125" t="s">
        <v>182</v>
      </c>
      <c r="C16" s="134">
        <v>2.9</v>
      </c>
      <c r="D16" s="134">
        <v>3.6</v>
      </c>
      <c r="E16" s="134">
        <v>4.5999999999999996</v>
      </c>
      <c r="F16" s="134">
        <v>5.3</v>
      </c>
      <c r="G16" s="134">
        <v>6.3</v>
      </c>
      <c r="H16" s="134">
        <v>7.1</v>
      </c>
      <c r="I16" s="134">
        <v>8</v>
      </c>
      <c r="J16" s="138">
        <v>250</v>
      </c>
    </row>
    <row r="17" spans="2:10" x14ac:dyDescent="0.25">
      <c r="B17" s="126" t="s">
        <v>150</v>
      </c>
      <c r="C17" s="133">
        <v>3.1</v>
      </c>
      <c r="D17" s="133">
        <v>3.5</v>
      </c>
      <c r="E17" s="133">
        <v>4.5</v>
      </c>
      <c r="F17" s="133">
        <v>5.3</v>
      </c>
      <c r="G17" s="133">
        <v>6.6</v>
      </c>
      <c r="H17" s="133">
        <v>7.7</v>
      </c>
      <c r="I17" s="133">
        <v>9</v>
      </c>
      <c r="J17" s="137">
        <v>275</v>
      </c>
    </row>
    <row r="18" spans="2:10" x14ac:dyDescent="0.25">
      <c r="B18" s="125" t="s">
        <v>183</v>
      </c>
      <c r="C18" s="134">
        <v>3.4</v>
      </c>
      <c r="D18" s="134">
        <v>3.7</v>
      </c>
      <c r="E18" s="134">
        <v>4.7</v>
      </c>
      <c r="F18" s="134">
        <v>5.6</v>
      </c>
      <c r="G18" s="134">
        <v>7</v>
      </c>
      <c r="H18" s="134">
        <v>8.1999999999999993</v>
      </c>
      <c r="I18" s="134">
        <v>9.5</v>
      </c>
      <c r="J18" s="138">
        <v>300</v>
      </c>
    </row>
    <row r="19" spans="2:10" x14ac:dyDescent="0.25">
      <c r="B19" s="126" t="s">
        <v>184</v>
      </c>
      <c r="C19" s="133">
        <v>3.5</v>
      </c>
      <c r="D19" s="133">
        <v>3.5</v>
      </c>
      <c r="E19" s="133">
        <v>4.5</v>
      </c>
      <c r="F19" s="133">
        <v>5.4</v>
      </c>
      <c r="G19" s="133">
        <v>6.7</v>
      </c>
      <c r="H19" s="133">
        <v>7.9</v>
      </c>
      <c r="I19" s="133">
        <v>9.1999999999999993</v>
      </c>
      <c r="J19" s="137">
        <v>350</v>
      </c>
    </row>
    <row r="20" spans="2:10" x14ac:dyDescent="0.25">
      <c r="B20" s="125" t="s">
        <v>185</v>
      </c>
      <c r="C20" s="134">
        <v>3.6</v>
      </c>
      <c r="D20" s="134">
        <v>4</v>
      </c>
      <c r="E20" s="134">
        <v>5.2</v>
      </c>
      <c r="F20" s="134">
        <v>6.1</v>
      </c>
      <c r="G20" s="134">
        <v>7.5</v>
      </c>
      <c r="H20" s="134">
        <v>8.6</v>
      </c>
      <c r="I20" s="134">
        <v>9.6999999999999993</v>
      </c>
      <c r="J20" s="138">
        <v>350</v>
      </c>
    </row>
    <row r="21" spans="2:10" x14ac:dyDescent="0.25">
      <c r="B21" s="126" t="s">
        <v>186</v>
      </c>
      <c r="C21" s="133">
        <v>3.2</v>
      </c>
      <c r="D21" s="133">
        <v>3.5</v>
      </c>
      <c r="E21" s="133">
        <v>4.5</v>
      </c>
      <c r="F21" s="133">
        <v>5.4</v>
      </c>
      <c r="G21" s="133">
        <v>6.7</v>
      </c>
      <c r="H21" s="133">
        <v>8</v>
      </c>
      <c r="I21" s="133">
        <v>9.3000000000000007</v>
      </c>
      <c r="J21" s="137">
        <v>300</v>
      </c>
    </row>
    <row r="22" spans="2:10" x14ac:dyDescent="0.25">
      <c r="B22" s="125" t="s">
        <v>222</v>
      </c>
      <c r="C22" s="134">
        <v>3.3</v>
      </c>
      <c r="D22" s="134">
        <v>3.6</v>
      </c>
      <c r="E22" s="134">
        <v>4.7</v>
      </c>
      <c r="F22" s="134">
        <v>5.5</v>
      </c>
      <c r="G22" s="134">
        <v>6.8</v>
      </c>
      <c r="H22" s="134">
        <v>8.8000000000000007</v>
      </c>
      <c r="I22" s="134">
        <v>10</v>
      </c>
      <c r="J22" s="138">
        <v>325</v>
      </c>
    </row>
    <row r="23" spans="2:10" x14ac:dyDescent="0.25">
      <c r="B23" s="126" t="s">
        <v>221</v>
      </c>
      <c r="C23" s="133">
        <v>3.4</v>
      </c>
      <c r="D23" s="133">
        <v>3.8</v>
      </c>
      <c r="E23" s="133">
        <v>4.9000000000000004</v>
      </c>
      <c r="F23" s="133">
        <v>5.8</v>
      </c>
      <c r="G23" s="133">
        <v>7.1</v>
      </c>
      <c r="H23" s="133">
        <v>8.1</v>
      </c>
      <c r="I23" s="133">
        <v>9.3000000000000007</v>
      </c>
      <c r="J23" s="137">
        <v>325</v>
      </c>
    </row>
    <row r="24" spans="2:10" x14ac:dyDescent="0.25">
      <c r="B24" s="125" t="s">
        <v>220</v>
      </c>
      <c r="C24" s="134">
        <v>3.6</v>
      </c>
      <c r="D24" s="134">
        <v>4.2</v>
      </c>
      <c r="E24" s="134">
        <v>5.4</v>
      </c>
      <c r="F24" s="134">
        <v>6.4</v>
      </c>
      <c r="G24" s="134">
        <v>7.8</v>
      </c>
      <c r="H24" s="134">
        <v>8.9</v>
      </c>
      <c r="I24" s="134">
        <v>10.1</v>
      </c>
      <c r="J24" s="138">
        <v>325</v>
      </c>
    </row>
    <row r="25" spans="2:10" x14ac:dyDescent="0.25">
      <c r="B25" s="126" t="s">
        <v>219</v>
      </c>
      <c r="C25" s="133">
        <v>3.2</v>
      </c>
      <c r="D25" s="133">
        <v>3.1</v>
      </c>
      <c r="E25" s="133">
        <v>4.5</v>
      </c>
      <c r="F25" s="133">
        <v>5.2</v>
      </c>
      <c r="G25" s="133">
        <v>6.3</v>
      </c>
      <c r="H25" s="133">
        <v>7.2</v>
      </c>
      <c r="I25" s="133">
        <v>8.1999999999999993</v>
      </c>
      <c r="J25" s="137">
        <v>250</v>
      </c>
    </row>
    <row r="26" spans="2:10" x14ac:dyDescent="0.25">
      <c r="B26" s="125" t="s">
        <v>218</v>
      </c>
      <c r="C26" s="134">
        <v>3</v>
      </c>
      <c r="D26" s="134">
        <v>3.5</v>
      </c>
      <c r="E26" s="134">
        <v>4.4000000000000004</v>
      </c>
      <c r="F26" s="134">
        <v>5.0999999999999996</v>
      </c>
      <c r="G26" s="134">
        <v>6.2</v>
      </c>
      <c r="H26" s="134">
        <v>7.1</v>
      </c>
      <c r="I26" s="134">
        <v>8</v>
      </c>
      <c r="J26" s="138">
        <v>250</v>
      </c>
    </row>
    <row r="27" spans="2:10" x14ac:dyDescent="0.25">
      <c r="B27" s="126" t="s">
        <v>217</v>
      </c>
      <c r="C27" s="133">
        <v>3.3</v>
      </c>
      <c r="D27" s="133">
        <v>3.5</v>
      </c>
      <c r="E27" s="133">
        <v>4.5</v>
      </c>
      <c r="F27" s="133">
        <v>5.4</v>
      </c>
      <c r="G27" s="133">
        <v>6.7</v>
      </c>
      <c r="H27" s="133">
        <v>7.9</v>
      </c>
      <c r="I27" s="133">
        <v>9.1999999999999993</v>
      </c>
      <c r="J27" s="137">
        <v>325</v>
      </c>
    </row>
    <row r="28" spans="2:10" x14ac:dyDescent="0.25">
      <c r="B28" s="125" t="s">
        <v>216</v>
      </c>
      <c r="C28" s="134">
        <v>3.3</v>
      </c>
      <c r="D28" s="134">
        <v>3.7</v>
      </c>
      <c r="E28" s="134">
        <v>4.7</v>
      </c>
      <c r="F28" s="134">
        <v>5.6</v>
      </c>
      <c r="G28" s="134">
        <v>7</v>
      </c>
      <c r="H28" s="134">
        <v>8.1999999999999993</v>
      </c>
      <c r="I28" s="134">
        <v>9.6</v>
      </c>
      <c r="J28" s="138">
        <v>325</v>
      </c>
    </row>
    <row r="29" spans="2:10" x14ac:dyDescent="0.25">
      <c r="B29" s="126" t="s">
        <v>215</v>
      </c>
      <c r="C29" s="133">
        <v>3.6</v>
      </c>
      <c r="D29" s="133">
        <v>4.5999999999999996</v>
      </c>
      <c r="E29" s="133">
        <v>5.9</v>
      </c>
      <c r="F29" s="133">
        <v>7</v>
      </c>
      <c r="G29" s="133">
        <v>8.5</v>
      </c>
      <c r="H29" s="133">
        <v>9.8000000000000007</v>
      </c>
      <c r="I29" s="133">
        <v>11.1</v>
      </c>
      <c r="J29" s="137">
        <v>350</v>
      </c>
    </row>
    <row r="30" spans="2:10" x14ac:dyDescent="0.25">
      <c r="B30" s="125" t="s">
        <v>214</v>
      </c>
      <c r="C30" s="134">
        <v>3.6</v>
      </c>
      <c r="D30" s="134">
        <v>3.9</v>
      </c>
      <c r="E30" s="134">
        <v>5.0999999999999996</v>
      </c>
      <c r="F30" s="134">
        <v>6</v>
      </c>
      <c r="G30" s="134">
        <v>7.4</v>
      </c>
      <c r="H30" s="134">
        <v>8.4</v>
      </c>
      <c r="I30" s="134">
        <v>9.6</v>
      </c>
      <c r="J30" s="138">
        <v>350</v>
      </c>
    </row>
    <row r="31" spans="2:10" x14ac:dyDescent="0.25">
      <c r="B31" s="126" t="s">
        <v>213</v>
      </c>
      <c r="C31" s="133">
        <v>4</v>
      </c>
      <c r="D31" s="133">
        <v>4.2</v>
      </c>
      <c r="E31" s="133">
        <v>5.3</v>
      </c>
      <c r="F31" s="133">
        <v>6.1</v>
      </c>
      <c r="G31" s="133">
        <v>7.3</v>
      </c>
      <c r="H31" s="133">
        <v>8.3000000000000007</v>
      </c>
      <c r="I31" s="133">
        <v>9.3000000000000007</v>
      </c>
      <c r="J31" s="137">
        <v>300</v>
      </c>
    </row>
    <row r="32" spans="2:10" x14ac:dyDescent="0.25">
      <c r="B32" s="125" t="s">
        <v>212</v>
      </c>
      <c r="C32" s="134">
        <v>3.4</v>
      </c>
      <c r="D32" s="134">
        <v>3.7</v>
      </c>
      <c r="E32" s="134">
        <v>4.5999999999999996</v>
      </c>
      <c r="F32" s="134">
        <v>5.4</v>
      </c>
      <c r="G32" s="134">
        <v>6.7</v>
      </c>
      <c r="H32" s="134">
        <v>7.8</v>
      </c>
      <c r="I32" s="134">
        <v>9.1</v>
      </c>
      <c r="J32" s="138">
        <v>300</v>
      </c>
    </row>
    <row r="33" spans="2:10" x14ac:dyDescent="0.25">
      <c r="B33" s="126" t="s">
        <v>156</v>
      </c>
      <c r="C33" s="133">
        <v>3.1</v>
      </c>
      <c r="D33" s="133">
        <v>3.5</v>
      </c>
      <c r="E33" s="133">
        <v>4.4000000000000004</v>
      </c>
      <c r="F33" s="133">
        <v>5.0999999999999996</v>
      </c>
      <c r="G33" s="133">
        <v>6.4</v>
      </c>
      <c r="H33" s="133">
        <v>7.6</v>
      </c>
      <c r="I33" s="133">
        <v>9</v>
      </c>
      <c r="J33" s="137">
        <v>250</v>
      </c>
    </row>
    <row r="34" spans="2:10" x14ac:dyDescent="0.25">
      <c r="B34" s="125" t="s">
        <v>211</v>
      </c>
      <c r="C34" s="134">
        <v>3.4</v>
      </c>
      <c r="D34" s="134">
        <v>3.8</v>
      </c>
      <c r="E34" s="134">
        <v>4.9000000000000004</v>
      </c>
      <c r="F34" s="134">
        <v>5.8</v>
      </c>
      <c r="G34" s="134">
        <v>7.1</v>
      </c>
      <c r="H34" s="134">
        <v>8.1999999999999993</v>
      </c>
      <c r="I34" s="134">
        <v>9.3000000000000007</v>
      </c>
      <c r="J34" s="138">
        <v>325</v>
      </c>
    </row>
    <row r="35" spans="2:10" x14ac:dyDescent="0.25">
      <c r="B35" s="126" t="s">
        <v>210</v>
      </c>
      <c r="C35" s="133">
        <v>3.4</v>
      </c>
      <c r="D35" s="133">
        <v>4.2</v>
      </c>
      <c r="E35" s="133">
        <v>5.4</v>
      </c>
      <c r="F35" s="133">
        <v>6.4</v>
      </c>
      <c r="G35" s="133">
        <v>7.8</v>
      </c>
      <c r="H35" s="133">
        <v>9</v>
      </c>
      <c r="I35" s="133">
        <v>10.199999999999999</v>
      </c>
      <c r="J35" s="137">
        <v>325</v>
      </c>
    </row>
    <row r="36" spans="2:10" x14ac:dyDescent="0.25">
      <c r="B36" s="125" t="s">
        <v>209</v>
      </c>
      <c r="C36" s="134">
        <v>3.4</v>
      </c>
      <c r="D36" s="134">
        <v>4.0999999999999996</v>
      </c>
      <c r="E36" s="134">
        <v>5.3</v>
      </c>
      <c r="F36" s="134">
        <v>6.3</v>
      </c>
      <c r="G36" s="134">
        <v>7.9</v>
      </c>
      <c r="H36" s="134">
        <v>9.3000000000000007</v>
      </c>
      <c r="I36" s="134">
        <v>10.8</v>
      </c>
      <c r="J36" s="138">
        <v>350</v>
      </c>
    </row>
    <row r="37" spans="2:10" x14ac:dyDescent="0.25">
      <c r="B37" s="126" t="s">
        <v>208</v>
      </c>
      <c r="C37" s="133">
        <v>3.6</v>
      </c>
      <c r="D37" s="133">
        <v>4.2</v>
      </c>
      <c r="E37" s="133">
        <v>5.4</v>
      </c>
      <c r="F37" s="133">
        <v>6.4</v>
      </c>
      <c r="G37" s="133">
        <v>7.8</v>
      </c>
      <c r="H37" s="133">
        <v>9</v>
      </c>
      <c r="I37" s="133">
        <v>10.199999999999999</v>
      </c>
      <c r="J37" s="137">
        <v>350</v>
      </c>
    </row>
    <row r="38" spans="2:10" x14ac:dyDescent="0.25">
      <c r="B38" s="125" t="s">
        <v>207</v>
      </c>
      <c r="C38" s="134">
        <v>3.5</v>
      </c>
      <c r="D38" s="134">
        <v>4.2</v>
      </c>
      <c r="E38" s="134">
        <v>5.4</v>
      </c>
      <c r="F38" s="134">
        <v>6.4</v>
      </c>
      <c r="G38" s="134">
        <v>7.8</v>
      </c>
      <c r="H38" s="134">
        <v>9</v>
      </c>
      <c r="I38" s="134">
        <v>10.199999999999999</v>
      </c>
      <c r="J38" s="138">
        <v>350</v>
      </c>
    </row>
    <row r="39" spans="2:10" x14ac:dyDescent="0.25">
      <c r="B39" s="126" t="s">
        <v>206</v>
      </c>
      <c r="C39" s="133">
        <v>3.1</v>
      </c>
      <c r="D39" s="133">
        <v>3.5</v>
      </c>
      <c r="E39" s="133">
        <v>4.4000000000000004</v>
      </c>
      <c r="F39" s="133">
        <v>5.0999999999999996</v>
      </c>
      <c r="G39" s="133">
        <v>6.2</v>
      </c>
      <c r="H39" s="133">
        <v>7.1</v>
      </c>
      <c r="I39" s="133">
        <v>8.1</v>
      </c>
      <c r="J39" s="137">
        <v>275</v>
      </c>
    </row>
    <row r="40" spans="2:10" x14ac:dyDescent="0.25">
      <c r="B40" s="125" t="s">
        <v>205</v>
      </c>
      <c r="C40" s="134">
        <v>3</v>
      </c>
      <c r="D40" s="134">
        <v>3.5</v>
      </c>
      <c r="E40" s="134">
        <v>4.4000000000000004</v>
      </c>
      <c r="F40" s="134">
        <v>5.2</v>
      </c>
      <c r="G40" s="134">
        <v>6.2</v>
      </c>
      <c r="H40" s="134">
        <v>7</v>
      </c>
      <c r="I40" s="134">
        <v>7.9</v>
      </c>
      <c r="J40" s="138">
        <v>250</v>
      </c>
    </row>
    <row r="41" spans="2:10" x14ac:dyDescent="0.25">
      <c r="B41" s="126" t="s">
        <v>158</v>
      </c>
      <c r="C41" s="133">
        <v>3.1</v>
      </c>
      <c r="D41" s="133">
        <v>3.6</v>
      </c>
      <c r="E41" s="133">
        <v>4.4000000000000004</v>
      </c>
      <c r="F41" s="133">
        <v>5.2</v>
      </c>
      <c r="G41" s="133">
        <v>6.5</v>
      </c>
      <c r="H41" s="133">
        <v>7.7</v>
      </c>
      <c r="I41" s="133">
        <v>9.1999999999999993</v>
      </c>
      <c r="J41" s="137">
        <v>250</v>
      </c>
    </row>
    <row r="42" spans="2:10" x14ac:dyDescent="0.25">
      <c r="B42" s="125" t="s">
        <v>204</v>
      </c>
      <c r="C42" s="134">
        <v>3.2</v>
      </c>
      <c r="D42" s="134">
        <v>3.5</v>
      </c>
      <c r="E42" s="134">
        <v>4.5</v>
      </c>
      <c r="F42" s="134">
        <v>5.4</v>
      </c>
      <c r="G42" s="134">
        <v>6.7</v>
      </c>
      <c r="H42" s="134">
        <v>7.9</v>
      </c>
      <c r="I42" s="134">
        <v>9.3000000000000007</v>
      </c>
      <c r="J42" s="138">
        <v>275</v>
      </c>
    </row>
    <row r="43" spans="2:10" x14ac:dyDescent="0.25">
      <c r="B43" s="126" t="s">
        <v>159</v>
      </c>
      <c r="C43" s="133">
        <v>3.1</v>
      </c>
      <c r="D43" s="133">
        <v>3.6</v>
      </c>
      <c r="E43" s="133">
        <v>4.5</v>
      </c>
      <c r="F43" s="133">
        <v>5.3</v>
      </c>
      <c r="G43" s="133">
        <v>6.4</v>
      </c>
      <c r="H43" s="133">
        <v>7.3</v>
      </c>
      <c r="I43" s="133">
        <v>8.3000000000000007</v>
      </c>
      <c r="J43" s="137">
        <v>250</v>
      </c>
    </row>
    <row r="44" spans="2:10" x14ac:dyDescent="0.25">
      <c r="B44" s="125" t="s">
        <v>203</v>
      </c>
      <c r="C44" s="134">
        <v>3.3</v>
      </c>
      <c r="D44" s="134">
        <v>3.7</v>
      </c>
      <c r="E44" s="134">
        <v>4.8</v>
      </c>
      <c r="F44" s="134">
        <v>5.7</v>
      </c>
      <c r="G44" s="134">
        <v>6.9</v>
      </c>
      <c r="H44" s="134">
        <v>8</v>
      </c>
      <c r="I44" s="134">
        <v>9.1</v>
      </c>
      <c r="J44" s="138">
        <v>325</v>
      </c>
    </row>
    <row r="45" spans="2:10" x14ac:dyDescent="0.25">
      <c r="B45" s="126" t="s">
        <v>202</v>
      </c>
      <c r="C45" s="133">
        <v>3.4</v>
      </c>
      <c r="D45" s="133">
        <v>4.2</v>
      </c>
      <c r="E45" s="133">
        <v>5.5</v>
      </c>
      <c r="F45" s="133">
        <v>6.5</v>
      </c>
      <c r="G45" s="133">
        <v>7.9</v>
      </c>
      <c r="H45" s="133">
        <v>9.1</v>
      </c>
      <c r="I45" s="133">
        <v>10.3</v>
      </c>
      <c r="J45" s="137">
        <v>325</v>
      </c>
    </row>
    <row r="46" spans="2:10" x14ac:dyDescent="0.25">
      <c r="B46" s="125" t="s">
        <v>201</v>
      </c>
      <c r="C46" s="134">
        <v>3.2</v>
      </c>
      <c r="D46" s="134">
        <v>3.5</v>
      </c>
      <c r="E46" s="134">
        <v>4.5</v>
      </c>
      <c r="F46" s="134">
        <v>5.4</v>
      </c>
      <c r="G46" s="134">
        <v>6.5</v>
      </c>
      <c r="H46" s="134">
        <v>7.5</v>
      </c>
      <c r="I46" s="134">
        <v>8.5</v>
      </c>
      <c r="J46" s="138">
        <v>300</v>
      </c>
    </row>
    <row r="47" spans="2:10" x14ac:dyDescent="0.25">
      <c r="B47" s="126" t="s">
        <v>160</v>
      </c>
      <c r="C47" s="133">
        <v>3.2</v>
      </c>
      <c r="D47" s="133">
        <v>3.5</v>
      </c>
      <c r="E47" s="133">
        <v>4.4000000000000004</v>
      </c>
      <c r="F47" s="133">
        <v>5.2</v>
      </c>
      <c r="G47" s="133">
        <v>6.4</v>
      </c>
      <c r="H47" s="133">
        <v>7.5</v>
      </c>
      <c r="I47" s="133">
        <v>8.9</v>
      </c>
      <c r="J47" s="137">
        <v>250</v>
      </c>
    </row>
    <row r="48" spans="2:10" x14ac:dyDescent="0.25">
      <c r="B48" s="125" t="s">
        <v>162</v>
      </c>
      <c r="C48" s="134">
        <v>3</v>
      </c>
      <c r="D48" s="134">
        <v>3.6</v>
      </c>
      <c r="E48" s="134">
        <v>4.5</v>
      </c>
      <c r="F48" s="134">
        <v>5.3</v>
      </c>
      <c r="G48" s="134">
        <v>6.4</v>
      </c>
      <c r="H48" s="134">
        <v>7.3</v>
      </c>
      <c r="I48" s="134">
        <v>8.4</v>
      </c>
      <c r="J48" s="138">
        <v>250</v>
      </c>
    </row>
    <row r="49" spans="2:10" x14ac:dyDescent="0.25">
      <c r="B49" s="126" t="s">
        <v>200</v>
      </c>
      <c r="C49" s="133">
        <v>4.5</v>
      </c>
      <c r="D49" s="133">
        <v>4.7</v>
      </c>
      <c r="E49" s="133">
        <v>5.8</v>
      </c>
      <c r="F49" s="133">
        <v>6.7</v>
      </c>
      <c r="G49" s="133">
        <v>7.8</v>
      </c>
      <c r="H49" s="133">
        <v>8.8000000000000007</v>
      </c>
      <c r="I49" s="133">
        <v>9.8000000000000007</v>
      </c>
      <c r="J49" s="137">
        <v>300</v>
      </c>
    </row>
    <row r="50" spans="2:10" x14ac:dyDescent="0.25">
      <c r="B50" s="125" t="s">
        <v>199</v>
      </c>
      <c r="C50" s="134">
        <v>3.5</v>
      </c>
      <c r="D50" s="134">
        <v>3.8</v>
      </c>
      <c r="E50" s="134">
        <v>4.7</v>
      </c>
      <c r="F50" s="134">
        <v>5.5</v>
      </c>
      <c r="G50" s="134">
        <v>6.6</v>
      </c>
      <c r="H50" s="134">
        <v>7.6</v>
      </c>
      <c r="I50" s="134">
        <v>8.6</v>
      </c>
      <c r="J50" s="138">
        <v>300</v>
      </c>
    </row>
    <row r="51" spans="2:10" x14ac:dyDescent="0.25">
      <c r="B51" s="126" t="s">
        <v>198</v>
      </c>
      <c r="C51" s="133">
        <v>3.3</v>
      </c>
      <c r="D51" s="133">
        <v>3.8</v>
      </c>
      <c r="E51" s="133">
        <v>4.9000000000000004</v>
      </c>
      <c r="F51" s="133">
        <v>5.8</v>
      </c>
      <c r="G51" s="133">
        <v>7.1</v>
      </c>
      <c r="H51" s="133">
        <v>8.1</v>
      </c>
      <c r="I51" s="133">
        <v>9.3000000000000007</v>
      </c>
      <c r="J51" s="137">
        <v>275</v>
      </c>
    </row>
    <row r="52" spans="2:10" x14ac:dyDescent="0.25">
      <c r="B52" s="125" t="s">
        <v>197</v>
      </c>
      <c r="C52" s="134">
        <v>3.3</v>
      </c>
      <c r="D52" s="134">
        <v>3.6</v>
      </c>
      <c r="E52" s="134">
        <v>4.5</v>
      </c>
      <c r="F52" s="134">
        <v>5.4</v>
      </c>
      <c r="G52" s="134">
        <v>6.8</v>
      </c>
      <c r="H52" s="134">
        <v>8</v>
      </c>
      <c r="I52" s="134">
        <v>9.3000000000000007</v>
      </c>
      <c r="J52" s="138">
        <v>275</v>
      </c>
    </row>
    <row r="53" spans="2:10" x14ac:dyDescent="0.25">
      <c r="B53" s="126" t="s">
        <v>196</v>
      </c>
      <c r="C53" s="133">
        <v>4.2</v>
      </c>
      <c r="D53" s="133">
        <v>5.0999999999999996</v>
      </c>
      <c r="E53" s="133">
        <v>6.2</v>
      </c>
      <c r="F53" s="133">
        <v>7.2</v>
      </c>
      <c r="G53" s="133">
        <v>8.5</v>
      </c>
      <c r="H53" s="133">
        <v>9.5</v>
      </c>
      <c r="I53" s="133">
        <v>10.6</v>
      </c>
      <c r="J53" s="137">
        <v>300</v>
      </c>
    </row>
    <row r="54" spans="2:10" x14ac:dyDescent="0.25">
      <c r="B54" s="125" t="s">
        <v>195</v>
      </c>
      <c r="C54" s="134">
        <v>3.7</v>
      </c>
      <c r="D54" s="134">
        <v>4.0999999999999996</v>
      </c>
      <c r="E54" s="134">
        <v>5</v>
      </c>
      <c r="F54" s="134">
        <v>5.8</v>
      </c>
      <c r="G54" s="134">
        <v>6.9</v>
      </c>
      <c r="H54" s="134">
        <v>7.8</v>
      </c>
      <c r="I54" s="134">
        <v>8.8000000000000007</v>
      </c>
      <c r="J54" s="138">
        <v>300</v>
      </c>
    </row>
    <row r="55" spans="2:10" x14ac:dyDescent="0.25">
      <c r="B55" s="126" t="s">
        <v>194</v>
      </c>
      <c r="C55" s="133">
        <v>3.1</v>
      </c>
      <c r="D55" s="133">
        <v>3.6</v>
      </c>
      <c r="E55" s="133">
        <v>4.5</v>
      </c>
      <c r="F55" s="133">
        <v>5.3</v>
      </c>
      <c r="G55" s="133">
        <v>6.4</v>
      </c>
      <c r="H55" s="133">
        <v>7.3</v>
      </c>
      <c r="I55" s="133">
        <v>8.3000000000000007</v>
      </c>
      <c r="J55" s="137">
        <v>275</v>
      </c>
    </row>
    <row r="56" spans="2:10" x14ac:dyDescent="0.25">
      <c r="B56" s="125" t="s">
        <v>193</v>
      </c>
      <c r="C56" s="134">
        <v>3.4</v>
      </c>
      <c r="D56" s="134">
        <v>3.6</v>
      </c>
      <c r="E56" s="134">
        <v>4.5</v>
      </c>
      <c r="F56" s="134">
        <v>5.2</v>
      </c>
      <c r="G56" s="134">
        <v>6.3</v>
      </c>
      <c r="H56" s="134">
        <v>7.2</v>
      </c>
      <c r="I56" s="134">
        <v>8.1999999999999993</v>
      </c>
      <c r="J56" s="138">
        <v>250</v>
      </c>
    </row>
    <row r="57" spans="2:10" x14ac:dyDescent="0.25">
      <c r="B57" s="126" t="s">
        <v>192</v>
      </c>
      <c r="C57" s="133">
        <v>3.4</v>
      </c>
      <c r="D57" s="133">
        <v>4.5</v>
      </c>
      <c r="E57" s="133">
        <v>5.5</v>
      </c>
      <c r="F57" s="133">
        <v>6.3</v>
      </c>
      <c r="G57" s="133">
        <v>7.5</v>
      </c>
      <c r="H57" s="133">
        <v>8.5</v>
      </c>
      <c r="I57" s="133">
        <v>9.5</v>
      </c>
      <c r="J57" s="137">
        <v>300</v>
      </c>
    </row>
    <row r="58" spans="2:10" x14ac:dyDescent="0.25">
      <c r="B58" s="125" t="s">
        <v>191</v>
      </c>
      <c r="C58" s="134">
        <v>3.1</v>
      </c>
      <c r="D58" s="134">
        <v>3.8</v>
      </c>
      <c r="E58" s="134">
        <v>4.8</v>
      </c>
      <c r="F58" s="134">
        <v>5.5</v>
      </c>
      <c r="G58" s="134">
        <v>6.6</v>
      </c>
      <c r="H58" s="134">
        <v>7.4</v>
      </c>
      <c r="I58" s="134">
        <v>8.3000000000000007</v>
      </c>
      <c r="J58" s="138">
        <v>275</v>
      </c>
    </row>
    <row r="59" spans="2:10" x14ac:dyDescent="0.25">
      <c r="B59" s="126" t="s">
        <v>190</v>
      </c>
      <c r="C59" s="133">
        <v>3.1</v>
      </c>
      <c r="D59" s="133">
        <v>3.6</v>
      </c>
      <c r="E59" s="133">
        <v>4.5</v>
      </c>
      <c r="F59" s="133">
        <v>5.5</v>
      </c>
      <c r="G59" s="133">
        <v>6.4</v>
      </c>
      <c r="H59" s="133">
        <v>7.8</v>
      </c>
      <c r="I59" s="133">
        <v>9.3000000000000007</v>
      </c>
      <c r="J59" s="137">
        <v>275</v>
      </c>
    </row>
    <row r="60" spans="2:10" x14ac:dyDescent="0.25">
      <c r="B60" s="125" t="s">
        <v>189</v>
      </c>
      <c r="C60" s="134">
        <v>3.1</v>
      </c>
      <c r="D60" s="134">
        <v>3.7</v>
      </c>
      <c r="E60" s="134">
        <v>4.5999999999999996</v>
      </c>
      <c r="F60" s="134">
        <v>5.4</v>
      </c>
      <c r="G60" s="134">
        <v>6.7</v>
      </c>
      <c r="H60" s="134">
        <v>7.9</v>
      </c>
      <c r="I60" s="134">
        <v>9.4</v>
      </c>
      <c r="J60" s="138">
        <v>275</v>
      </c>
    </row>
    <row r="61" spans="2:10" x14ac:dyDescent="0.25">
      <c r="B61" s="126" t="s">
        <v>167</v>
      </c>
      <c r="C61" s="133">
        <v>3.2</v>
      </c>
      <c r="D61" s="133">
        <v>3.6</v>
      </c>
      <c r="E61" s="133">
        <v>4.5999999999999996</v>
      </c>
      <c r="F61" s="133">
        <v>5.5</v>
      </c>
      <c r="G61" s="133">
        <v>6.9</v>
      </c>
      <c r="H61" s="133">
        <v>8.1</v>
      </c>
      <c r="I61" s="133">
        <v>9.5</v>
      </c>
      <c r="J61" s="137">
        <v>275</v>
      </c>
    </row>
    <row r="62" spans="2:10" x14ac:dyDescent="0.25">
      <c r="B62" s="125" t="s">
        <v>168</v>
      </c>
      <c r="C62" s="134">
        <v>3</v>
      </c>
      <c r="D62" s="134">
        <v>3.6</v>
      </c>
      <c r="E62" s="134">
        <v>4.5</v>
      </c>
      <c r="F62" s="134">
        <v>5.2</v>
      </c>
      <c r="G62" s="134">
        <v>6.5</v>
      </c>
      <c r="H62" s="134">
        <v>7.7</v>
      </c>
      <c r="I62" s="134">
        <v>9.1</v>
      </c>
      <c r="J62" s="138">
        <v>250</v>
      </c>
    </row>
    <row r="63" spans="2:10" x14ac:dyDescent="0.25">
      <c r="B63" s="126" t="s">
        <v>188</v>
      </c>
      <c r="C63" s="133">
        <v>3.4</v>
      </c>
      <c r="D63" s="133">
        <v>4.0999999999999996</v>
      </c>
      <c r="E63" s="133">
        <v>5.3</v>
      </c>
      <c r="F63" s="133">
        <v>6.2</v>
      </c>
      <c r="G63" s="133">
        <v>7.6</v>
      </c>
      <c r="H63" s="133">
        <v>8.6999999999999993</v>
      </c>
      <c r="I63" s="133">
        <v>9.9</v>
      </c>
      <c r="J63" s="137">
        <v>325</v>
      </c>
    </row>
    <row r="64" spans="2:10" ht="13.8" thickBot="1" x14ac:dyDescent="0.3">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7" t="s">
        <v>227</v>
      </c>
      <c r="D3" s="207"/>
      <c r="E3" s="207"/>
      <c r="F3" s="207"/>
    </row>
    <row r="4" spans="1:6" x14ac:dyDescent="0.25">
      <c r="C4" s="37" t="s">
        <v>223</v>
      </c>
      <c r="D4" s="37" t="s">
        <v>224</v>
      </c>
      <c r="E4" s="37" t="s">
        <v>225</v>
      </c>
      <c r="F4" s="37" t="s">
        <v>226</v>
      </c>
    </row>
    <row r="5" spans="1:6" x14ac:dyDescent="0.25">
      <c r="A5" s="145" t="s">
        <v>228</v>
      </c>
      <c r="B5" t="s">
        <v>6</v>
      </c>
    </row>
    <row r="6" spans="1:6" x14ac:dyDescent="0.25">
      <c r="A6" t="s">
        <v>229</v>
      </c>
      <c r="B6" t="s">
        <v>262</v>
      </c>
      <c r="C6" s="37">
        <v>68</v>
      </c>
      <c r="D6" s="37">
        <v>79</v>
      </c>
      <c r="E6" s="37">
        <v>86</v>
      </c>
      <c r="F6" s="37">
        <v>89</v>
      </c>
    </row>
    <row r="7" spans="1:6" x14ac:dyDescent="0.25">
      <c r="A7" t="s">
        <v>230</v>
      </c>
      <c r="B7" t="s">
        <v>232</v>
      </c>
      <c r="C7" s="37">
        <v>49</v>
      </c>
      <c r="D7" s="37">
        <v>69</v>
      </c>
      <c r="E7" s="37">
        <v>79</v>
      </c>
      <c r="F7" s="37">
        <v>84</v>
      </c>
    </row>
    <row r="8" spans="1:6" x14ac:dyDescent="0.25">
      <c r="A8" t="s">
        <v>231</v>
      </c>
      <c r="B8" t="s">
        <v>233</v>
      </c>
      <c r="C8" s="37">
        <v>39</v>
      </c>
      <c r="D8" s="37">
        <v>61</v>
      </c>
      <c r="E8" s="37">
        <v>74</v>
      </c>
      <c r="F8" s="37">
        <v>80</v>
      </c>
    </row>
    <row r="9" spans="1:6" x14ac:dyDescent="0.25">
      <c r="A9" s="145" t="s">
        <v>234</v>
      </c>
    </row>
    <row r="10" spans="1:6" x14ac:dyDescent="0.25">
      <c r="A10" t="s">
        <v>263</v>
      </c>
      <c r="B10" s="3" t="s">
        <v>363</v>
      </c>
      <c r="C10" s="37">
        <v>98</v>
      </c>
      <c r="D10" s="37">
        <v>98</v>
      </c>
      <c r="E10" s="37">
        <v>98</v>
      </c>
      <c r="F10" s="37">
        <v>98</v>
      </c>
    </row>
    <row r="11" spans="1:6" x14ac:dyDescent="0.25">
      <c r="A11" t="s">
        <v>235</v>
      </c>
      <c r="B11" s="3" t="s">
        <v>364</v>
      </c>
      <c r="C11" s="37">
        <v>83</v>
      </c>
      <c r="D11" s="37">
        <v>89</v>
      </c>
      <c r="E11" s="37">
        <v>92</v>
      </c>
      <c r="F11" s="37">
        <v>93</v>
      </c>
    </row>
    <row r="12" spans="1:6" x14ac:dyDescent="0.25">
      <c r="A12" t="s">
        <v>236</v>
      </c>
      <c r="B12" s="3" t="s">
        <v>365</v>
      </c>
      <c r="C12" s="37">
        <v>76</v>
      </c>
      <c r="D12" s="37">
        <v>85</v>
      </c>
      <c r="E12" s="37">
        <v>89</v>
      </c>
      <c r="F12" s="37">
        <v>91</v>
      </c>
    </row>
    <row r="13" spans="1:6" x14ac:dyDescent="0.25">
      <c r="A13" t="s">
        <v>237</v>
      </c>
      <c r="B13" s="3" t="s">
        <v>365</v>
      </c>
      <c r="C13" s="37">
        <v>72</v>
      </c>
      <c r="D13" s="37">
        <v>82</v>
      </c>
      <c r="E13" s="37">
        <v>87</v>
      </c>
      <c r="F13" s="37">
        <v>89</v>
      </c>
    </row>
    <row r="14" spans="1:6" x14ac:dyDescent="0.25">
      <c r="A14" s="145" t="s">
        <v>238</v>
      </c>
    </row>
    <row r="15" spans="1:6" x14ac:dyDescent="0.25">
      <c r="A15" t="s">
        <v>239</v>
      </c>
      <c r="B15" t="s">
        <v>264</v>
      </c>
      <c r="C15" s="37">
        <v>63</v>
      </c>
      <c r="D15" s="37">
        <v>77</v>
      </c>
      <c r="E15" s="37">
        <v>85</v>
      </c>
      <c r="F15" s="37">
        <v>88</v>
      </c>
    </row>
    <row r="16" spans="1:6" ht="12.75" customHeight="1" x14ac:dyDescent="0.25">
      <c r="A16" t="s">
        <v>240</v>
      </c>
      <c r="B16" s="144" t="s">
        <v>265</v>
      </c>
      <c r="C16" s="37">
        <v>96</v>
      </c>
      <c r="D16" s="37">
        <v>96</v>
      </c>
      <c r="E16" s="37">
        <v>96</v>
      </c>
      <c r="F16" s="37">
        <v>96</v>
      </c>
    </row>
    <row r="17" spans="1:6" x14ac:dyDescent="0.25">
      <c r="A17" s="145" t="s">
        <v>241</v>
      </c>
    </row>
    <row r="18" spans="1:6" x14ac:dyDescent="0.25">
      <c r="A18" t="s">
        <v>242</v>
      </c>
      <c r="B18" t="s">
        <v>243</v>
      </c>
      <c r="C18" s="37">
        <v>89</v>
      </c>
      <c r="D18" s="37">
        <v>92</v>
      </c>
      <c r="E18" s="37">
        <v>94</v>
      </c>
      <c r="F18" s="37">
        <v>95</v>
      </c>
    </row>
    <row r="19" spans="1:6" x14ac:dyDescent="0.25">
      <c r="A19" t="s">
        <v>244</v>
      </c>
      <c r="B19" t="s">
        <v>245</v>
      </c>
      <c r="C19" s="37">
        <v>81</v>
      </c>
      <c r="D19" s="37">
        <v>88</v>
      </c>
      <c r="E19" s="37">
        <v>91</v>
      </c>
      <c r="F19" s="37">
        <v>93</v>
      </c>
    </row>
    <row r="20" spans="1:6" x14ac:dyDescent="0.25">
      <c r="A20" s="145" t="s">
        <v>246</v>
      </c>
    </row>
    <row r="21" spans="1:6" x14ac:dyDescent="0.25">
      <c r="A21" t="s">
        <v>247</v>
      </c>
      <c r="B21" t="s">
        <v>248</v>
      </c>
      <c r="C21" s="37">
        <v>77</v>
      </c>
      <c r="D21" s="37">
        <v>85</v>
      </c>
      <c r="E21" s="37">
        <v>90</v>
      </c>
      <c r="F21" s="37">
        <v>92</v>
      </c>
    </row>
    <row r="22" spans="1:6" x14ac:dyDescent="0.25">
      <c r="A22" t="s">
        <v>249</v>
      </c>
      <c r="B22" t="s">
        <v>250</v>
      </c>
      <c r="C22" s="37">
        <v>61</v>
      </c>
      <c r="D22" s="37">
        <v>75</v>
      </c>
      <c r="E22" s="37">
        <v>83</v>
      </c>
      <c r="F22" s="37">
        <v>87</v>
      </c>
    </row>
    <row r="23" spans="1:6" x14ac:dyDescent="0.25">
      <c r="A23" t="s">
        <v>251</v>
      </c>
      <c r="B23" t="s">
        <v>252</v>
      </c>
      <c r="C23" s="37">
        <v>57</v>
      </c>
      <c r="D23" s="37">
        <v>72</v>
      </c>
      <c r="E23" s="37">
        <v>81</v>
      </c>
      <c r="F23" s="37">
        <v>86</v>
      </c>
    </row>
    <row r="24" spans="1:6" x14ac:dyDescent="0.25">
      <c r="A24" t="s">
        <v>253</v>
      </c>
      <c r="B24" t="s">
        <v>254</v>
      </c>
      <c r="C24" s="37">
        <v>54</v>
      </c>
      <c r="D24" s="37">
        <v>70</v>
      </c>
      <c r="E24" s="37">
        <v>80</v>
      </c>
      <c r="F24" s="37">
        <v>85</v>
      </c>
    </row>
    <row r="25" spans="1:6" x14ac:dyDescent="0.25">
      <c r="A25" t="s">
        <v>255</v>
      </c>
      <c r="B25" t="s">
        <v>256</v>
      </c>
      <c r="C25" s="37">
        <v>51</v>
      </c>
      <c r="D25" s="37">
        <v>68</v>
      </c>
      <c r="E25" s="37">
        <v>79</v>
      </c>
      <c r="F25" s="37">
        <v>84</v>
      </c>
    </row>
    <row r="26" spans="1:6" x14ac:dyDescent="0.25">
      <c r="A26" t="s">
        <v>257</v>
      </c>
      <c r="B26" t="s">
        <v>258</v>
      </c>
      <c r="C26" s="37">
        <v>46</v>
      </c>
      <c r="D26" s="37">
        <v>65</v>
      </c>
      <c r="E26" s="37">
        <v>77</v>
      </c>
      <c r="F26" s="37">
        <v>82</v>
      </c>
    </row>
    <row r="27" spans="1:6" x14ac:dyDescent="0.25">
      <c r="A27" s="145" t="s">
        <v>259</v>
      </c>
    </row>
    <row r="28" spans="1:6" x14ac:dyDescent="0.25">
      <c r="A28" t="s">
        <v>260</v>
      </c>
      <c r="B28" t="s">
        <v>261</v>
      </c>
      <c r="C28" s="37">
        <v>77</v>
      </c>
      <c r="D28" s="37">
        <v>86</v>
      </c>
      <c r="E28" s="37">
        <v>91</v>
      </c>
      <c r="F28" s="37">
        <v>94</v>
      </c>
    </row>
    <row r="29" spans="1:6" x14ac:dyDescent="0.25">
      <c r="A29" s="145" t="s">
        <v>300</v>
      </c>
    </row>
    <row r="30" spans="1:6" x14ac:dyDescent="0.25">
      <c r="A30" s="3" t="s">
        <v>311</v>
      </c>
      <c r="B30" s="3" t="s">
        <v>301</v>
      </c>
      <c r="C30" s="37">
        <v>68</v>
      </c>
      <c r="D30" s="4">
        <v>79</v>
      </c>
      <c r="E30" s="37">
        <v>86</v>
      </c>
      <c r="F30" s="37">
        <v>89</v>
      </c>
    </row>
    <row r="31" spans="1:6" x14ac:dyDescent="0.25">
      <c r="A31" s="3" t="s">
        <v>310</v>
      </c>
      <c r="B31" s="3" t="s">
        <v>302</v>
      </c>
      <c r="C31" s="37">
        <v>49</v>
      </c>
      <c r="D31" s="37">
        <v>69</v>
      </c>
      <c r="E31" s="37">
        <v>79</v>
      </c>
      <c r="F31" s="37">
        <v>84</v>
      </c>
    </row>
    <row r="32" spans="1:6" x14ac:dyDescent="0.25">
      <c r="A32" s="3" t="s">
        <v>309</v>
      </c>
      <c r="B32" s="3" t="s">
        <v>303</v>
      </c>
      <c r="C32" s="37">
        <v>39</v>
      </c>
      <c r="D32" s="37">
        <v>61</v>
      </c>
      <c r="E32" s="37">
        <v>74</v>
      </c>
      <c r="F32" s="37">
        <v>80</v>
      </c>
    </row>
    <row r="33" spans="1:9" x14ac:dyDescent="0.25">
      <c r="A33" s="3" t="s">
        <v>304</v>
      </c>
      <c r="B33" s="3" t="s">
        <v>305</v>
      </c>
      <c r="C33" s="37">
        <v>30</v>
      </c>
      <c r="D33" s="37">
        <v>58</v>
      </c>
      <c r="E33" s="37">
        <v>71</v>
      </c>
      <c r="F33" s="37">
        <v>78</v>
      </c>
    </row>
    <row r="34" spans="1:9" x14ac:dyDescent="0.25">
      <c r="A34" s="3" t="s">
        <v>306</v>
      </c>
      <c r="B34" s="3" t="s">
        <v>315</v>
      </c>
      <c r="C34" s="37">
        <v>48</v>
      </c>
      <c r="D34" s="37">
        <v>67</v>
      </c>
      <c r="E34" s="37">
        <v>77</v>
      </c>
      <c r="F34" s="37">
        <v>83</v>
      </c>
    </row>
    <row r="35" spans="1:9" x14ac:dyDescent="0.25">
      <c r="A35" s="3" t="s">
        <v>307</v>
      </c>
      <c r="B35" s="3" t="s">
        <v>316</v>
      </c>
      <c r="C35" s="37">
        <v>35</v>
      </c>
      <c r="D35" s="37">
        <v>56</v>
      </c>
      <c r="E35" s="37">
        <v>70</v>
      </c>
      <c r="F35" s="37">
        <v>77</v>
      </c>
    </row>
    <row r="36" spans="1:9" x14ac:dyDescent="0.25">
      <c r="A36" s="3" t="s">
        <v>308</v>
      </c>
      <c r="B36" s="3" t="s">
        <v>317</v>
      </c>
      <c r="C36" s="37">
        <v>30</v>
      </c>
      <c r="D36" s="37">
        <v>48</v>
      </c>
      <c r="E36" s="37">
        <v>65</v>
      </c>
      <c r="F36" s="37">
        <v>73</v>
      </c>
    </row>
    <row r="37" spans="1:9" x14ac:dyDescent="0.25">
      <c r="A37" s="3" t="s">
        <v>318</v>
      </c>
      <c r="B37" s="3" t="s">
        <v>321</v>
      </c>
      <c r="C37" s="37">
        <v>57</v>
      </c>
      <c r="D37" s="37">
        <v>73</v>
      </c>
      <c r="E37" s="37">
        <v>82</v>
      </c>
      <c r="F37" s="37">
        <v>86</v>
      </c>
    </row>
    <row r="38" spans="1:9" x14ac:dyDescent="0.25">
      <c r="A38" s="3" t="s">
        <v>319</v>
      </c>
      <c r="B38" s="3" t="s">
        <v>321</v>
      </c>
      <c r="C38" s="37">
        <v>43</v>
      </c>
      <c r="D38" s="37">
        <v>65</v>
      </c>
      <c r="E38" s="37">
        <v>76</v>
      </c>
      <c r="F38" s="37">
        <v>82</v>
      </c>
    </row>
    <row r="39" spans="1:9" x14ac:dyDescent="0.25">
      <c r="A39" s="3" t="s">
        <v>320</v>
      </c>
      <c r="B39" s="3" t="s">
        <v>321</v>
      </c>
      <c r="C39" s="37">
        <v>32</v>
      </c>
      <c r="D39" s="37">
        <v>58</v>
      </c>
      <c r="E39" s="37">
        <v>72</v>
      </c>
      <c r="F39" s="37">
        <v>79</v>
      </c>
    </row>
    <row r="40" spans="1:9" x14ac:dyDescent="0.25">
      <c r="A40" s="3" t="s">
        <v>312</v>
      </c>
      <c r="B40" s="3" t="s">
        <v>324</v>
      </c>
      <c r="C40" s="37">
        <v>45</v>
      </c>
      <c r="D40" s="37">
        <v>66</v>
      </c>
      <c r="E40" s="37">
        <v>77</v>
      </c>
      <c r="F40" s="37">
        <v>83</v>
      </c>
    </row>
    <row r="41" spans="1:9" x14ac:dyDescent="0.25">
      <c r="A41" s="3" t="s">
        <v>313</v>
      </c>
      <c r="B41" s="3" t="s">
        <v>322</v>
      </c>
      <c r="C41" s="37">
        <v>36</v>
      </c>
      <c r="D41" s="37">
        <v>60</v>
      </c>
      <c r="E41" s="37">
        <v>73</v>
      </c>
      <c r="F41" s="37">
        <v>79</v>
      </c>
    </row>
    <row r="42" spans="1:9" x14ac:dyDescent="0.25">
      <c r="A42" s="3" t="s">
        <v>314</v>
      </c>
      <c r="B42" s="3" t="s">
        <v>323</v>
      </c>
      <c r="C42" s="37">
        <v>30</v>
      </c>
      <c r="D42" s="37">
        <v>55</v>
      </c>
      <c r="E42" s="37">
        <v>70</v>
      </c>
      <c r="F42" s="37">
        <v>77</v>
      </c>
    </row>
    <row r="43" spans="1:9" x14ac:dyDescent="0.25">
      <c r="A43" s="3" t="s">
        <v>325</v>
      </c>
      <c r="B43" s="3" t="s">
        <v>326</v>
      </c>
      <c r="C43" s="37">
        <v>59</v>
      </c>
      <c r="D43" s="37">
        <v>74</v>
      </c>
      <c r="E43" s="37">
        <v>82</v>
      </c>
      <c r="F43" s="37">
        <v>86</v>
      </c>
    </row>
    <row r="44" spans="1:9" x14ac:dyDescent="0.25">
      <c r="A44" s="145" t="s">
        <v>266</v>
      </c>
    </row>
    <row r="45" spans="1:9" x14ac:dyDescent="0.25">
      <c r="A45" t="s">
        <v>267</v>
      </c>
      <c r="B45" s="3" t="s">
        <v>366</v>
      </c>
      <c r="C45" s="37">
        <v>77</v>
      </c>
      <c r="D45" s="37">
        <v>86</v>
      </c>
      <c r="E45" s="37">
        <v>91</v>
      </c>
      <c r="F45" s="37">
        <v>94</v>
      </c>
    </row>
    <row r="46" spans="1:9" x14ac:dyDescent="0.25">
      <c r="A46" s="3" t="s">
        <v>289</v>
      </c>
      <c r="B46" s="3" t="s">
        <v>332</v>
      </c>
      <c r="C46" s="37">
        <v>76</v>
      </c>
      <c r="D46" s="37">
        <v>85</v>
      </c>
      <c r="E46" s="37">
        <v>90</v>
      </c>
      <c r="F46" s="37">
        <v>93</v>
      </c>
    </row>
    <row r="47" spans="1:9" x14ac:dyDescent="0.25">
      <c r="A47" s="3" t="s">
        <v>288</v>
      </c>
      <c r="B47" s="3" t="s">
        <v>331</v>
      </c>
      <c r="C47" s="37">
        <v>74</v>
      </c>
      <c r="D47" s="37">
        <v>83</v>
      </c>
      <c r="E47" s="37">
        <v>88</v>
      </c>
      <c r="F47" s="37">
        <v>90</v>
      </c>
    </row>
    <row r="48" spans="1:9" x14ac:dyDescent="0.25">
      <c r="A48" s="3" t="s">
        <v>287</v>
      </c>
      <c r="B48" s="3" t="s">
        <v>332</v>
      </c>
      <c r="C48" s="37">
        <v>72</v>
      </c>
      <c r="D48" s="37">
        <v>81</v>
      </c>
      <c r="E48" s="37">
        <v>88</v>
      </c>
      <c r="F48" s="4">
        <v>91</v>
      </c>
      <c r="G48" s="37"/>
      <c r="H48" s="37"/>
      <c r="I48" s="37"/>
    </row>
    <row r="49" spans="1:6" x14ac:dyDescent="0.25">
      <c r="A49" s="3" t="s">
        <v>286</v>
      </c>
      <c r="B49" s="3" t="s">
        <v>331</v>
      </c>
      <c r="C49" s="37">
        <v>67</v>
      </c>
      <c r="D49" s="37">
        <v>78</v>
      </c>
      <c r="E49" s="37">
        <v>85</v>
      </c>
      <c r="F49" s="4">
        <v>89</v>
      </c>
    </row>
    <row r="50" spans="1:6" x14ac:dyDescent="0.25">
      <c r="A50" s="3" t="s">
        <v>268</v>
      </c>
      <c r="B50" s="3" t="s">
        <v>332</v>
      </c>
      <c r="C50" s="37">
        <v>71</v>
      </c>
      <c r="D50" s="37">
        <v>80</v>
      </c>
      <c r="E50" s="37">
        <v>87</v>
      </c>
      <c r="F50" s="4">
        <v>90</v>
      </c>
    </row>
    <row r="51" spans="1:6" x14ac:dyDescent="0.25">
      <c r="A51" s="3" t="s">
        <v>269</v>
      </c>
      <c r="B51" s="3" t="s">
        <v>331</v>
      </c>
      <c r="C51" s="37">
        <v>64</v>
      </c>
      <c r="D51" s="37">
        <v>75</v>
      </c>
      <c r="E51" s="37">
        <v>82</v>
      </c>
      <c r="F51" s="4">
        <v>85</v>
      </c>
    </row>
    <row r="52" spans="1:6" x14ac:dyDescent="0.25">
      <c r="A52" s="3" t="s">
        <v>290</v>
      </c>
      <c r="B52" s="3" t="s">
        <v>332</v>
      </c>
      <c r="C52" s="37">
        <v>70</v>
      </c>
      <c r="D52" s="37">
        <v>79</v>
      </c>
      <c r="E52" s="37">
        <v>84</v>
      </c>
      <c r="F52" s="4">
        <v>88</v>
      </c>
    </row>
    <row r="53" spans="1:6" x14ac:dyDescent="0.25">
      <c r="A53" s="3" t="s">
        <v>291</v>
      </c>
      <c r="B53" s="3" t="s">
        <v>331</v>
      </c>
      <c r="C53" s="37">
        <v>65</v>
      </c>
      <c r="D53" s="37">
        <v>75</v>
      </c>
      <c r="E53" s="37">
        <v>82</v>
      </c>
      <c r="F53" s="4">
        <v>86</v>
      </c>
    </row>
    <row r="54" spans="1:6" x14ac:dyDescent="0.25">
      <c r="A54" s="3" t="s">
        <v>285</v>
      </c>
      <c r="B54" s="3" t="s">
        <v>332</v>
      </c>
      <c r="C54" s="37">
        <v>69</v>
      </c>
      <c r="D54" s="37">
        <v>78</v>
      </c>
      <c r="E54" s="37">
        <v>83</v>
      </c>
      <c r="F54" s="4">
        <v>87</v>
      </c>
    </row>
    <row r="55" spans="1:6" x14ac:dyDescent="0.25">
      <c r="A55" s="3" t="s">
        <v>284</v>
      </c>
      <c r="B55" s="3" t="s">
        <v>331</v>
      </c>
      <c r="C55" s="37">
        <v>64</v>
      </c>
      <c r="D55" s="37">
        <v>74</v>
      </c>
      <c r="E55" s="37">
        <v>81</v>
      </c>
      <c r="F55" s="4">
        <v>85</v>
      </c>
    </row>
    <row r="56" spans="1:6" x14ac:dyDescent="0.25">
      <c r="A56" s="3" t="s">
        <v>283</v>
      </c>
      <c r="B56" s="3" t="s">
        <v>332</v>
      </c>
      <c r="C56" s="37">
        <v>66</v>
      </c>
      <c r="D56" s="37">
        <v>74</v>
      </c>
      <c r="E56" s="37">
        <v>80</v>
      </c>
      <c r="F56" s="4">
        <v>82</v>
      </c>
    </row>
    <row r="57" spans="1:6" x14ac:dyDescent="0.25">
      <c r="A57" s="3" t="s">
        <v>282</v>
      </c>
      <c r="B57" s="3" t="s">
        <v>331</v>
      </c>
      <c r="C57" s="37">
        <v>62</v>
      </c>
      <c r="D57" s="37">
        <v>71</v>
      </c>
      <c r="E57" s="37">
        <v>78</v>
      </c>
      <c r="F57" s="4">
        <v>81</v>
      </c>
    </row>
    <row r="58" spans="1:6" x14ac:dyDescent="0.25">
      <c r="A58" s="3" t="s">
        <v>281</v>
      </c>
      <c r="B58" s="3" t="s">
        <v>332</v>
      </c>
      <c r="C58" s="37">
        <v>65</v>
      </c>
      <c r="D58" s="37">
        <v>73</v>
      </c>
      <c r="E58" s="37">
        <v>79</v>
      </c>
      <c r="F58" s="4">
        <v>81</v>
      </c>
    </row>
    <row r="59" spans="1:6" x14ac:dyDescent="0.25">
      <c r="A59" s="3" t="s">
        <v>280</v>
      </c>
      <c r="B59" s="3" t="s">
        <v>331</v>
      </c>
      <c r="C59" s="37">
        <v>61</v>
      </c>
      <c r="D59" s="37">
        <v>70</v>
      </c>
      <c r="E59" s="37">
        <v>77</v>
      </c>
      <c r="F59" s="4">
        <v>80</v>
      </c>
    </row>
    <row r="60" spans="1:6" x14ac:dyDescent="0.25">
      <c r="A60" s="3" t="s">
        <v>279</v>
      </c>
      <c r="B60" s="3" t="s">
        <v>332</v>
      </c>
      <c r="C60" s="37">
        <v>65</v>
      </c>
      <c r="D60" s="37">
        <v>76</v>
      </c>
      <c r="E60" s="37">
        <v>84</v>
      </c>
      <c r="F60" s="4">
        <v>88</v>
      </c>
    </row>
    <row r="61" spans="1:6" x14ac:dyDescent="0.25">
      <c r="A61" s="3" t="s">
        <v>278</v>
      </c>
      <c r="B61" s="3" t="s">
        <v>331</v>
      </c>
      <c r="C61" s="37">
        <v>63</v>
      </c>
      <c r="D61" s="37">
        <v>75</v>
      </c>
      <c r="E61" s="37">
        <v>83</v>
      </c>
      <c r="F61" s="4">
        <v>87</v>
      </c>
    </row>
    <row r="62" spans="1:6" x14ac:dyDescent="0.25">
      <c r="A62" s="3" t="s">
        <v>277</v>
      </c>
      <c r="B62" s="3" t="s">
        <v>332</v>
      </c>
      <c r="C62" s="37">
        <v>64</v>
      </c>
      <c r="D62" s="37">
        <v>75</v>
      </c>
      <c r="E62" s="37">
        <v>83</v>
      </c>
      <c r="F62" s="4">
        <v>86</v>
      </c>
    </row>
    <row r="63" spans="1:6" x14ac:dyDescent="0.25">
      <c r="A63" s="3" t="s">
        <v>276</v>
      </c>
      <c r="B63" s="3" t="s">
        <v>331</v>
      </c>
      <c r="C63" s="37">
        <v>60</v>
      </c>
      <c r="D63" s="37">
        <v>72</v>
      </c>
      <c r="E63" s="37">
        <v>80</v>
      </c>
      <c r="F63" s="4">
        <v>84</v>
      </c>
    </row>
    <row r="64" spans="1:6" x14ac:dyDescent="0.25">
      <c r="A64" s="3" t="s">
        <v>275</v>
      </c>
      <c r="B64" s="3" t="s">
        <v>332</v>
      </c>
      <c r="C64" s="37">
        <v>63</v>
      </c>
      <c r="D64" s="37">
        <v>74</v>
      </c>
      <c r="E64" s="37">
        <v>82</v>
      </c>
      <c r="F64" s="4">
        <v>85</v>
      </c>
    </row>
    <row r="65" spans="1:6" x14ac:dyDescent="0.25">
      <c r="A65" s="3" t="s">
        <v>274</v>
      </c>
      <c r="B65" s="3" t="s">
        <v>331</v>
      </c>
      <c r="C65" s="37">
        <v>61</v>
      </c>
      <c r="D65" s="37">
        <v>73</v>
      </c>
      <c r="E65" s="37">
        <v>81</v>
      </c>
      <c r="F65" s="4">
        <v>84</v>
      </c>
    </row>
    <row r="66" spans="1:6" x14ac:dyDescent="0.25">
      <c r="A66" s="3" t="s">
        <v>270</v>
      </c>
      <c r="B66" s="3" t="s">
        <v>332</v>
      </c>
      <c r="C66" s="37">
        <v>62</v>
      </c>
      <c r="D66" s="37">
        <v>73</v>
      </c>
      <c r="E66" s="37">
        <v>81</v>
      </c>
      <c r="F66" s="4">
        <v>84</v>
      </c>
    </row>
    <row r="67" spans="1:6" x14ac:dyDescent="0.25">
      <c r="A67" s="3" t="s">
        <v>271</v>
      </c>
      <c r="B67" s="3" t="s">
        <v>331</v>
      </c>
      <c r="C67" s="37">
        <v>60</v>
      </c>
      <c r="D67" s="37">
        <v>72</v>
      </c>
      <c r="E67" s="37">
        <v>80</v>
      </c>
      <c r="F67" s="4">
        <v>83</v>
      </c>
    </row>
    <row r="68" spans="1:6" x14ac:dyDescent="0.25">
      <c r="A68" s="3" t="s">
        <v>272</v>
      </c>
      <c r="B68" s="3" t="s">
        <v>332</v>
      </c>
      <c r="C68" s="37">
        <v>61</v>
      </c>
      <c r="D68" s="37">
        <v>72</v>
      </c>
      <c r="E68" s="37">
        <v>79</v>
      </c>
      <c r="F68" s="4">
        <v>82</v>
      </c>
    </row>
    <row r="69" spans="1:6" x14ac:dyDescent="0.25">
      <c r="A69" s="3" t="s">
        <v>273</v>
      </c>
      <c r="B69" s="3" t="s">
        <v>331</v>
      </c>
      <c r="C69" s="37">
        <v>59</v>
      </c>
      <c r="D69" s="37">
        <v>70</v>
      </c>
      <c r="E69" s="37">
        <v>78</v>
      </c>
      <c r="F69" s="4">
        <v>81</v>
      </c>
    </row>
    <row r="70" spans="1:6" x14ac:dyDescent="0.25">
      <c r="A70" s="3" t="s">
        <v>292</v>
      </c>
      <c r="B70" s="3" t="s">
        <v>332</v>
      </c>
      <c r="C70" s="37">
        <v>60</v>
      </c>
      <c r="D70" s="37">
        <v>71</v>
      </c>
      <c r="E70" s="37">
        <v>78</v>
      </c>
      <c r="F70" s="4">
        <v>81</v>
      </c>
    </row>
    <row r="71" spans="1:6" x14ac:dyDescent="0.25">
      <c r="A71" s="3" t="s">
        <v>293</v>
      </c>
      <c r="B71" s="3" t="s">
        <v>331</v>
      </c>
      <c r="C71" s="37">
        <v>58</v>
      </c>
      <c r="D71" s="37">
        <v>69</v>
      </c>
      <c r="E71" s="37">
        <v>77</v>
      </c>
      <c r="F71" s="4">
        <v>80</v>
      </c>
    </row>
    <row r="72" spans="1:6" x14ac:dyDescent="0.25">
      <c r="A72" s="3" t="s">
        <v>294</v>
      </c>
      <c r="B72" s="3" t="s">
        <v>332</v>
      </c>
      <c r="C72" s="37">
        <v>66</v>
      </c>
      <c r="D72" s="37">
        <v>77</v>
      </c>
      <c r="E72" s="37">
        <v>85</v>
      </c>
      <c r="F72" s="4">
        <v>89</v>
      </c>
    </row>
    <row r="73" spans="1:6" x14ac:dyDescent="0.25">
      <c r="A73" s="3" t="s">
        <v>295</v>
      </c>
      <c r="B73" s="3" t="s">
        <v>331</v>
      </c>
      <c r="C73" s="37">
        <v>58</v>
      </c>
      <c r="D73" s="37">
        <v>72</v>
      </c>
      <c r="E73" s="37">
        <v>81</v>
      </c>
      <c r="F73" s="4">
        <v>85</v>
      </c>
    </row>
    <row r="74" spans="1:6" x14ac:dyDescent="0.25">
      <c r="A74" s="3" t="s">
        <v>296</v>
      </c>
      <c r="B74" s="3" t="s">
        <v>332</v>
      </c>
      <c r="C74" s="37">
        <v>64</v>
      </c>
      <c r="D74" s="37">
        <v>75</v>
      </c>
      <c r="E74" s="37">
        <v>83</v>
      </c>
      <c r="F74" s="4">
        <v>85</v>
      </c>
    </row>
    <row r="75" spans="1:6" x14ac:dyDescent="0.25">
      <c r="A75" s="3" t="s">
        <v>297</v>
      </c>
      <c r="B75" s="3" t="s">
        <v>331</v>
      </c>
      <c r="C75" s="37">
        <v>55</v>
      </c>
      <c r="D75" s="37">
        <v>69</v>
      </c>
      <c r="E75" s="37">
        <v>78</v>
      </c>
      <c r="F75" s="4">
        <v>83</v>
      </c>
    </row>
    <row r="76" spans="1:6" x14ac:dyDescent="0.25">
      <c r="A76" s="3" t="s">
        <v>298</v>
      </c>
      <c r="B76" s="3" t="s">
        <v>332</v>
      </c>
      <c r="C76" s="37">
        <v>63</v>
      </c>
      <c r="D76" s="37">
        <v>73</v>
      </c>
      <c r="E76" s="37">
        <v>80</v>
      </c>
      <c r="F76" s="4">
        <v>83</v>
      </c>
    </row>
    <row r="77" spans="1:6" x14ac:dyDescent="0.25">
      <c r="A77" s="3" t="s">
        <v>299</v>
      </c>
      <c r="B77" s="3" t="s">
        <v>331</v>
      </c>
      <c r="C77" s="37">
        <v>51</v>
      </c>
      <c r="D77" s="37">
        <v>67</v>
      </c>
      <c r="E77" s="37">
        <v>76</v>
      </c>
      <c r="F77" s="4">
        <v>80</v>
      </c>
    </row>
    <row r="78" spans="1:6" x14ac:dyDescent="0.25">
      <c r="A78" s="145" t="s">
        <v>327</v>
      </c>
    </row>
    <row r="79" spans="1:6" x14ac:dyDescent="0.25">
      <c r="A79" s="3" t="s">
        <v>328</v>
      </c>
      <c r="B79" s="3" t="s">
        <v>333</v>
      </c>
      <c r="C79" s="4" t="s">
        <v>360</v>
      </c>
      <c r="D79" s="37">
        <v>80</v>
      </c>
      <c r="E79" s="37">
        <v>87</v>
      </c>
      <c r="F79" s="37">
        <v>93</v>
      </c>
    </row>
    <row r="80" spans="1:6" x14ac:dyDescent="0.25">
      <c r="A80" s="3" t="s">
        <v>329</v>
      </c>
      <c r="B80" s="3" t="s">
        <v>334</v>
      </c>
      <c r="C80" s="4" t="s">
        <v>360</v>
      </c>
      <c r="D80" s="37">
        <v>71</v>
      </c>
      <c r="E80" s="37">
        <v>81</v>
      </c>
      <c r="F80" s="37">
        <v>89</v>
      </c>
    </row>
    <row r="81" spans="1:6" x14ac:dyDescent="0.25">
      <c r="A81" s="3" t="s">
        <v>330</v>
      </c>
      <c r="B81" s="3" t="s">
        <v>335</v>
      </c>
      <c r="C81" s="4" t="s">
        <v>360</v>
      </c>
      <c r="D81" s="37">
        <v>62</v>
      </c>
      <c r="E81" s="37">
        <v>74</v>
      </c>
      <c r="F81" s="37">
        <v>85</v>
      </c>
    </row>
    <row r="82" spans="1:6" x14ac:dyDescent="0.25">
      <c r="A82" s="3" t="s">
        <v>336</v>
      </c>
      <c r="B82" s="3" t="s">
        <v>339</v>
      </c>
      <c r="C82" s="4" t="s">
        <v>360</v>
      </c>
      <c r="D82" s="37">
        <v>66</v>
      </c>
      <c r="E82" s="37">
        <v>74</v>
      </c>
      <c r="F82" s="37">
        <v>79</v>
      </c>
    </row>
    <row r="83" spans="1:6" x14ac:dyDescent="0.25">
      <c r="A83" s="3" t="s">
        <v>337</v>
      </c>
      <c r="B83" s="3" t="s">
        <v>340</v>
      </c>
      <c r="C83" s="4" t="s">
        <v>360</v>
      </c>
      <c r="D83" s="37">
        <v>48</v>
      </c>
      <c r="E83" s="37">
        <v>57</v>
      </c>
      <c r="F83" s="37">
        <v>63</v>
      </c>
    </row>
    <row r="84" spans="1:6" x14ac:dyDescent="0.25">
      <c r="A84" s="3" t="s">
        <v>338</v>
      </c>
      <c r="B84" s="3" t="s">
        <v>341</v>
      </c>
      <c r="C84" s="4" t="s">
        <v>360</v>
      </c>
      <c r="D84" s="37">
        <v>30</v>
      </c>
      <c r="E84" s="37">
        <v>41</v>
      </c>
      <c r="F84" s="37">
        <v>48</v>
      </c>
    </row>
    <row r="85" spans="1:6" x14ac:dyDescent="0.25">
      <c r="A85" s="3" t="s">
        <v>342</v>
      </c>
      <c r="B85" s="3" t="s">
        <v>345</v>
      </c>
      <c r="C85" s="4" t="s">
        <v>360</v>
      </c>
      <c r="D85" s="37">
        <v>75</v>
      </c>
      <c r="E85" s="37">
        <v>85</v>
      </c>
      <c r="F85" s="37">
        <v>89</v>
      </c>
    </row>
    <row r="86" spans="1:6" x14ac:dyDescent="0.25">
      <c r="A86" s="3" t="s">
        <v>343</v>
      </c>
      <c r="B86" s="3" t="s">
        <v>346</v>
      </c>
      <c r="C86" s="4" t="s">
        <v>360</v>
      </c>
      <c r="D86" s="37">
        <v>58</v>
      </c>
      <c r="E86" s="37">
        <v>73</v>
      </c>
      <c r="F86" s="37">
        <v>80</v>
      </c>
    </row>
    <row r="87" spans="1:6" x14ac:dyDescent="0.25">
      <c r="A87" s="3" t="s">
        <v>344</v>
      </c>
      <c r="B87" s="3" t="s">
        <v>347</v>
      </c>
      <c r="C87" s="4" t="s">
        <v>360</v>
      </c>
      <c r="D87" s="37">
        <v>41</v>
      </c>
      <c r="E87" s="37">
        <v>61</v>
      </c>
      <c r="F87" s="37">
        <v>71</v>
      </c>
    </row>
    <row r="88" spans="1:6" x14ac:dyDescent="0.25">
      <c r="A88" s="3" t="s">
        <v>348</v>
      </c>
      <c r="B88" t="s">
        <v>351</v>
      </c>
      <c r="C88" s="4" t="s">
        <v>360</v>
      </c>
      <c r="D88" s="37">
        <v>67</v>
      </c>
      <c r="E88" s="37">
        <v>80</v>
      </c>
      <c r="F88" s="37">
        <v>85</v>
      </c>
    </row>
    <row r="89" spans="1:6" x14ac:dyDescent="0.25">
      <c r="A89" s="3" t="s">
        <v>349</v>
      </c>
      <c r="B89" s="3" t="s">
        <v>352</v>
      </c>
      <c r="C89" s="4" t="s">
        <v>360</v>
      </c>
      <c r="D89" s="37">
        <v>51</v>
      </c>
      <c r="E89" s="37">
        <v>63</v>
      </c>
      <c r="F89" s="37">
        <v>70</v>
      </c>
    </row>
    <row r="90" spans="1:6" x14ac:dyDescent="0.25">
      <c r="A90" s="3" t="s">
        <v>350</v>
      </c>
      <c r="B90" s="3" t="s">
        <v>353</v>
      </c>
      <c r="C90" s="4" t="s">
        <v>360</v>
      </c>
      <c r="D90" s="37">
        <v>35</v>
      </c>
      <c r="E90" s="37">
        <v>47</v>
      </c>
      <c r="F90" s="37">
        <v>55</v>
      </c>
    </row>
    <row r="91" spans="1:6" x14ac:dyDescent="0.25">
      <c r="A91" s="3" t="s">
        <v>354</v>
      </c>
      <c r="B91" s="3" t="s">
        <v>357</v>
      </c>
      <c r="C91" s="37">
        <v>63</v>
      </c>
      <c r="D91" s="37">
        <v>77</v>
      </c>
      <c r="E91" s="37">
        <v>85</v>
      </c>
      <c r="F91" s="37">
        <v>88</v>
      </c>
    </row>
    <row r="92" spans="1:6" x14ac:dyDescent="0.25">
      <c r="A92" s="3" t="s">
        <v>355</v>
      </c>
      <c r="B92" s="3" t="s">
        <v>358</v>
      </c>
      <c r="C92" s="37">
        <v>55</v>
      </c>
      <c r="D92" s="37">
        <v>72</v>
      </c>
      <c r="E92" s="37">
        <v>81</v>
      </c>
      <c r="F92" s="37">
        <v>86</v>
      </c>
    </row>
    <row r="93" spans="1:6" x14ac:dyDescent="0.25">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08" t="s">
        <v>401</v>
      </c>
      <c r="D3" s="208"/>
      <c r="E3" s="208"/>
      <c r="F3" s="208"/>
      <c r="G3" s="146"/>
      <c r="H3" s="146"/>
      <c r="I3" s="146"/>
      <c r="J3" s="146"/>
      <c r="K3" s="146"/>
      <c r="L3" s="146"/>
    </row>
    <row r="4" spans="3:12" x14ac:dyDescent="0.25">
      <c r="C4" s="209" t="s">
        <v>368</v>
      </c>
      <c r="D4" s="210"/>
      <c r="E4" s="210"/>
      <c r="F4" s="211"/>
      <c r="G4" s="119"/>
      <c r="H4" s="119"/>
      <c r="I4" s="119"/>
      <c r="J4" s="119"/>
      <c r="K4" s="119"/>
      <c r="L4" s="119"/>
    </row>
    <row r="5" spans="3:12" x14ac:dyDescent="0.25">
      <c r="C5" s="212" t="s">
        <v>6</v>
      </c>
      <c r="D5" s="149" t="s">
        <v>369</v>
      </c>
      <c r="E5" s="149" t="s">
        <v>370</v>
      </c>
      <c r="F5" s="153" t="s">
        <v>371</v>
      </c>
    </row>
    <row r="6" spans="3:12" x14ac:dyDescent="0.25">
      <c r="C6" s="212"/>
      <c r="D6" s="149" t="s">
        <v>403</v>
      </c>
      <c r="E6" s="149" t="s">
        <v>404</v>
      </c>
      <c r="F6" s="153" t="s">
        <v>405</v>
      </c>
    </row>
    <row r="7" spans="3:12" ht="6.75" customHeight="1" x14ac:dyDescent="0.25">
      <c r="C7" s="154"/>
      <c r="D7" s="150"/>
      <c r="E7" s="150"/>
      <c r="F7" s="155"/>
    </row>
    <row r="8" spans="3:12" x14ac:dyDescent="0.25">
      <c r="C8" s="126" t="s">
        <v>372</v>
      </c>
      <c r="D8" s="151">
        <v>0.9</v>
      </c>
      <c r="E8" s="151">
        <v>0.9</v>
      </c>
      <c r="F8" s="156">
        <v>0.9</v>
      </c>
      <c r="I8" s="3" t="s">
        <v>406</v>
      </c>
    </row>
    <row r="9" spans="3:12" x14ac:dyDescent="0.25">
      <c r="C9" s="126" t="s">
        <v>373</v>
      </c>
      <c r="D9" s="151">
        <v>0.5</v>
      </c>
      <c r="E9" s="151">
        <v>0.5</v>
      </c>
      <c r="F9" s="156">
        <v>0.5</v>
      </c>
      <c r="I9" s="3" t="s">
        <v>407</v>
      </c>
    </row>
    <row r="10" spans="3:12" x14ac:dyDescent="0.25">
      <c r="C10" s="126" t="s">
        <v>374</v>
      </c>
      <c r="D10" s="151">
        <v>0.75</v>
      </c>
      <c r="E10" s="151">
        <v>0.8</v>
      </c>
      <c r="F10" s="156">
        <v>0.85</v>
      </c>
      <c r="I10" s="3" t="s">
        <v>408</v>
      </c>
    </row>
    <row r="11" spans="3:12" x14ac:dyDescent="0.25">
      <c r="C11" s="126" t="s">
        <v>375</v>
      </c>
      <c r="D11" s="151">
        <v>0.5</v>
      </c>
      <c r="E11" s="151">
        <v>0.55000000000000004</v>
      </c>
      <c r="F11" s="156">
        <v>0.6</v>
      </c>
    </row>
    <row r="12" spans="3:12" x14ac:dyDescent="0.25">
      <c r="C12" s="126" t="s">
        <v>376</v>
      </c>
      <c r="D12" s="151">
        <v>0.8</v>
      </c>
      <c r="E12" s="151">
        <v>0.85</v>
      </c>
      <c r="F12" s="156">
        <v>0.85</v>
      </c>
    </row>
    <row r="13" spans="3:12" x14ac:dyDescent="0.25">
      <c r="C13" s="126" t="s">
        <v>377</v>
      </c>
      <c r="D13" s="151">
        <v>0.34</v>
      </c>
      <c r="E13" s="151">
        <v>0.45</v>
      </c>
      <c r="F13" s="156">
        <v>0.59</v>
      </c>
    </row>
    <row r="14" spans="3:12" x14ac:dyDescent="0.25">
      <c r="C14" s="126" t="s">
        <v>378</v>
      </c>
      <c r="D14" s="151">
        <v>0.35</v>
      </c>
      <c r="E14" s="151">
        <v>0.47</v>
      </c>
      <c r="F14" s="156">
        <v>0.61</v>
      </c>
    </row>
    <row r="15" spans="3:12" x14ac:dyDescent="0.25">
      <c r="C15" s="126" t="s">
        <v>379</v>
      </c>
      <c r="D15" s="151">
        <v>0.4</v>
      </c>
      <c r="E15" s="151">
        <v>0.53</v>
      </c>
      <c r="F15" s="156">
        <v>0.69</v>
      </c>
    </row>
    <row r="16" spans="3:12" ht="6.75" customHeight="1" x14ac:dyDescent="0.25">
      <c r="C16" s="157"/>
      <c r="D16" s="152"/>
      <c r="E16" s="152"/>
      <c r="F16" s="158"/>
    </row>
    <row r="17" spans="3:6" x14ac:dyDescent="0.25">
      <c r="C17" s="126" t="s">
        <v>380</v>
      </c>
      <c r="D17" s="151">
        <v>0.5</v>
      </c>
      <c r="E17" s="151">
        <v>0.6</v>
      </c>
      <c r="F17" s="156">
        <v>0.7</v>
      </c>
    </row>
    <row r="18" spans="3:6" x14ac:dyDescent="0.25">
      <c r="C18" s="126" t="s">
        <v>381</v>
      </c>
      <c r="D18" s="151">
        <v>0.45</v>
      </c>
      <c r="E18" s="151">
        <v>0.5</v>
      </c>
      <c r="F18" s="156">
        <v>0.55000000000000004</v>
      </c>
    </row>
    <row r="19" spans="3:6" x14ac:dyDescent="0.25">
      <c r="C19" s="126" t="s">
        <v>382</v>
      </c>
      <c r="D19" s="151">
        <v>0.6</v>
      </c>
      <c r="E19" s="151">
        <v>0.65</v>
      </c>
      <c r="F19" s="156">
        <v>0.7</v>
      </c>
    </row>
    <row r="20" spans="3:6" x14ac:dyDescent="0.25">
      <c r="C20" s="126" t="s">
        <v>383</v>
      </c>
      <c r="D20" s="151">
        <v>0.1</v>
      </c>
      <c r="E20" s="151">
        <v>0.15</v>
      </c>
      <c r="F20" s="156">
        <v>0.2</v>
      </c>
    </row>
    <row r="21" spans="3:6" x14ac:dyDescent="0.25">
      <c r="C21" s="126" t="s">
        <v>384</v>
      </c>
      <c r="D21" s="151">
        <v>0.17</v>
      </c>
      <c r="E21" s="151">
        <v>0.22</v>
      </c>
      <c r="F21" s="156">
        <v>0.35</v>
      </c>
    </row>
    <row r="22" spans="3:6" ht="6.75" customHeight="1" x14ac:dyDescent="0.25">
      <c r="C22" s="157"/>
      <c r="D22" s="152"/>
      <c r="E22" s="152"/>
      <c r="F22" s="158"/>
    </row>
    <row r="23" spans="3:6" x14ac:dyDescent="0.25">
      <c r="C23" s="126" t="s">
        <v>385</v>
      </c>
      <c r="D23" s="151">
        <v>0.25</v>
      </c>
      <c r="E23" s="151">
        <v>0.25</v>
      </c>
      <c r="F23" s="156">
        <v>0.25</v>
      </c>
    </row>
    <row r="24" spans="3:6" x14ac:dyDescent="0.25">
      <c r="C24" s="126" t="s">
        <v>386</v>
      </c>
      <c r="D24" s="151">
        <v>0.6</v>
      </c>
      <c r="E24" s="151">
        <v>0.6</v>
      </c>
      <c r="F24" s="156">
        <v>0.6</v>
      </c>
    </row>
    <row r="25" spans="3:6" x14ac:dyDescent="0.25">
      <c r="C25" s="126" t="s">
        <v>387</v>
      </c>
      <c r="D25" s="151">
        <v>0.3</v>
      </c>
      <c r="E25" s="151">
        <v>0.3</v>
      </c>
      <c r="F25" s="156">
        <v>0.3</v>
      </c>
    </row>
    <row r="26" spans="3:6" x14ac:dyDescent="0.25">
      <c r="C26" s="126" t="s">
        <v>388</v>
      </c>
      <c r="D26" s="151">
        <v>0.25</v>
      </c>
      <c r="E26" s="151">
        <v>0.3</v>
      </c>
      <c r="F26" s="156">
        <v>0.3</v>
      </c>
    </row>
    <row r="27" spans="3:6" x14ac:dyDescent="0.25">
      <c r="C27" s="126" t="s">
        <v>389</v>
      </c>
      <c r="D27" s="151">
        <v>0.5</v>
      </c>
      <c r="E27" s="151">
        <v>0.55000000000000004</v>
      </c>
      <c r="F27" s="156">
        <v>0.6</v>
      </c>
    </row>
    <row r="28" spans="3:6" ht="6.75" customHeight="1" x14ac:dyDescent="0.25">
      <c r="C28" s="157"/>
      <c r="D28" s="152"/>
      <c r="E28" s="152"/>
      <c r="F28" s="158"/>
    </row>
    <row r="29" spans="3:6" x14ac:dyDescent="0.25">
      <c r="C29" s="126" t="s">
        <v>390</v>
      </c>
      <c r="D29" s="151">
        <v>0.25</v>
      </c>
      <c r="E29" s="151">
        <v>0.3</v>
      </c>
      <c r="F29" s="156">
        <v>0.35</v>
      </c>
    </row>
    <row r="30" spans="3:6" x14ac:dyDescent="0.25">
      <c r="C30" s="126" t="s">
        <v>391</v>
      </c>
      <c r="D30" s="151">
        <v>0.5</v>
      </c>
      <c r="E30" s="151">
        <v>0.7</v>
      </c>
      <c r="F30" s="156">
        <v>0.8</v>
      </c>
    </row>
    <row r="31" spans="3:6" x14ac:dyDescent="0.25">
      <c r="C31" s="126" t="s">
        <v>392</v>
      </c>
      <c r="D31" s="151">
        <v>0.6</v>
      </c>
      <c r="E31" s="151">
        <v>0.8</v>
      </c>
      <c r="F31" s="156">
        <v>0.9</v>
      </c>
    </row>
    <row r="32" spans="3:6" x14ac:dyDescent="0.25">
      <c r="C32" s="126" t="s">
        <v>393</v>
      </c>
      <c r="D32" s="151">
        <v>0.1</v>
      </c>
      <c r="E32" s="151">
        <v>0.15</v>
      </c>
      <c r="F32" s="156">
        <v>0.25</v>
      </c>
    </row>
    <row r="33" spans="3:6" x14ac:dyDescent="0.25">
      <c r="C33" s="126" t="s">
        <v>394</v>
      </c>
      <c r="D33" s="151">
        <v>0.2</v>
      </c>
      <c r="E33" s="151">
        <v>0.25</v>
      </c>
      <c r="F33" s="156">
        <v>0.3</v>
      </c>
    </row>
    <row r="34" spans="3:6" ht="6.75" customHeight="1" x14ac:dyDescent="0.25">
      <c r="C34" s="157"/>
      <c r="D34" s="152"/>
      <c r="E34" s="152"/>
      <c r="F34" s="158"/>
    </row>
    <row r="35" spans="3:6" x14ac:dyDescent="0.25">
      <c r="C35" s="126" t="s">
        <v>395</v>
      </c>
      <c r="D35" s="151">
        <v>0.1</v>
      </c>
      <c r="E35" s="151">
        <v>0.15</v>
      </c>
      <c r="F35" s="156">
        <v>0.2</v>
      </c>
    </row>
    <row r="36" spans="3:6" x14ac:dyDescent="0.25">
      <c r="C36" s="126" t="s">
        <v>396</v>
      </c>
      <c r="D36" s="151">
        <v>0.25</v>
      </c>
      <c r="E36" s="151">
        <v>0.3</v>
      </c>
      <c r="F36" s="156">
        <v>0.35</v>
      </c>
    </row>
    <row r="37" spans="3:6" x14ac:dyDescent="0.25">
      <c r="C37" s="126" t="s">
        <v>397</v>
      </c>
      <c r="D37" s="151">
        <v>0.1</v>
      </c>
      <c r="E37" s="151">
        <v>0.2</v>
      </c>
      <c r="F37" s="156">
        <v>0.3</v>
      </c>
    </row>
    <row r="38" spans="3:6" ht="6.75" customHeight="1" x14ac:dyDescent="0.25">
      <c r="C38" s="157"/>
      <c r="D38" s="152"/>
      <c r="E38" s="152"/>
      <c r="F38" s="158"/>
    </row>
    <row r="39" spans="3:6" x14ac:dyDescent="0.25">
      <c r="C39" s="126" t="s">
        <v>398</v>
      </c>
      <c r="D39" s="151">
        <v>0.25</v>
      </c>
      <c r="E39" s="151">
        <v>0.3</v>
      </c>
      <c r="F39" s="159" t="s">
        <v>360</v>
      </c>
    </row>
    <row r="40" spans="3:6" ht="13.8" thickBot="1" x14ac:dyDescent="0.3">
      <c r="C40" s="160" t="s">
        <v>399</v>
      </c>
      <c r="D40" s="161">
        <v>0.6</v>
      </c>
      <c r="E40" s="161">
        <v>0.7</v>
      </c>
      <c r="F40" s="162">
        <v>0.75</v>
      </c>
    </row>
    <row r="41" spans="3:6" ht="38.25" customHeight="1" thickBot="1" x14ac:dyDescent="0.3">
      <c r="C41" s="213" t="s">
        <v>400</v>
      </c>
      <c r="D41" s="214"/>
      <c r="E41" s="214"/>
      <c r="F41" s="215"/>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409</v>
      </c>
      <c r="D5" s="164">
        <v>1.0999999999999999E-2</v>
      </c>
    </row>
    <row r="6" spans="3:4" x14ac:dyDescent="0.25">
      <c r="C6" s="3" t="s">
        <v>410</v>
      </c>
      <c r="D6" s="164">
        <v>0.2</v>
      </c>
    </row>
    <row r="7" spans="3:4" x14ac:dyDescent="0.25">
      <c r="C7" s="3" t="s">
        <v>411</v>
      </c>
      <c r="D7" s="164">
        <v>0.4</v>
      </c>
    </row>
    <row r="8" spans="3:4" x14ac:dyDescent="0.25">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85" zoomScaleNormal="100" workbookViewId="0">
      <selection activeCell="A94" sqref="A94:H94"/>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418</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94" t="s">
        <v>419</v>
      </c>
      <c r="B6" s="194"/>
      <c r="C6" s="194"/>
      <c r="D6" s="194"/>
      <c r="E6" s="194"/>
      <c r="F6" s="194"/>
      <c r="G6" s="194"/>
      <c r="H6" s="194"/>
      <c r="I6" s="169"/>
      <c r="J6" s="169"/>
    </row>
    <row r="7" spans="1:35" ht="72.75" customHeight="1" x14ac:dyDescent="0.25">
      <c r="A7" s="194"/>
      <c r="B7" s="194"/>
      <c r="C7" s="194"/>
      <c r="D7" s="194"/>
      <c r="E7" s="194"/>
      <c r="F7" s="194"/>
      <c r="G7" s="194"/>
      <c r="H7" s="194"/>
      <c r="I7" s="170"/>
      <c r="J7" s="170"/>
    </row>
    <row r="8" spans="1:35" x14ac:dyDescent="0.2">
      <c r="A8" s="77"/>
      <c r="B8" s="77"/>
      <c r="C8" s="77"/>
      <c r="D8" s="77"/>
      <c r="E8" s="77"/>
      <c r="F8" s="77"/>
      <c r="G8" s="77"/>
      <c r="H8" s="77"/>
      <c r="I8" s="77"/>
    </row>
    <row r="9" spans="1:35" x14ac:dyDescent="0.2">
      <c r="A9" s="77" t="s">
        <v>1</v>
      </c>
      <c r="B9" s="77"/>
      <c r="D9" s="111">
        <v>43.97</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361</v>
      </c>
      <c r="B12" s="143" t="s">
        <v>225</v>
      </c>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2" t="s">
        <v>6</v>
      </c>
      <c r="F14" s="192"/>
      <c r="G14" s="77"/>
      <c r="H14" s="77"/>
      <c r="I14" s="77"/>
      <c r="W14" s="189" t="s">
        <v>362</v>
      </c>
      <c r="X14" s="190"/>
      <c r="Y14" s="190"/>
      <c r="Z14" s="190"/>
      <c r="AA14" s="190"/>
      <c r="AB14" s="190"/>
      <c r="AC14" s="190"/>
      <c r="AD14" s="190"/>
      <c r="AE14" s="190"/>
      <c r="AF14" s="190"/>
      <c r="AG14" s="190"/>
      <c r="AH14" s="190"/>
      <c r="AI14" s="191"/>
    </row>
    <row r="15" spans="1:35" x14ac:dyDescent="0.2">
      <c r="A15" s="77"/>
      <c r="B15" s="111">
        <v>4.93</v>
      </c>
      <c r="C15" s="51" t="s">
        <v>3</v>
      </c>
      <c r="D15" s="79">
        <f>IF(ISBLANK(E15),0,IF($B$12='Curve Numbers'!$C$4,VLOOKUP(E15,'Curve Numbers'!$A$5:$F$93,3,FALSE),IF($B$12='Curve Numbers'!$D$4,VLOOKUP(E15,'Curve Numbers'!$A$5:$F$93,4,FALSE),IF($B$12='Curve Numbers'!$E$4,VLOOKUP(E15,'Curve Numbers'!$A$5:$F$93,5,FALSE),IF($B$12='Curve Numbers'!$F$4,VLOOKUP(E15,'Curve Numbers'!$A$5:$F$93,6,FALSE),"UPDATE")))))</f>
        <v>92</v>
      </c>
      <c r="E15" s="182" t="s">
        <v>235</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12.85</v>
      </c>
      <c r="C16" s="51" t="s">
        <v>3</v>
      </c>
      <c r="D16" s="79">
        <f>IF(ISBLANK(E16),0,IF($B$12='Curve Numbers'!$C$4,VLOOKUP(E16,'Curve Numbers'!$A$5:$F$93,3,FALSE),IF($B$12='Curve Numbers'!$D$4,VLOOKUP(E16,'Curve Numbers'!$A$5:$F$93,4,FALSE),IF($B$12='Curve Numbers'!$E$4,VLOOKUP(E16,'Curve Numbers'!$A$5:$F$93,5,FALSE),IF($B$12='Curve Numbers'!$F$4,VLOOKUP(E16,'Curve Numbers'!$A$5:$F$93,6,FALSE),"UPDATE")))))</f>
        <v>70</v>
      </c>
      <c r="E16" s="182" t="s">
        <v>314</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12.38</v>
      </c>
      <c r="C17" s="51" t="s">
        <v>3</v>
      </c>
      <c r="D17" s="79">
        <f>IF(ISBLANK(E17),0,IF($B$12='Curve Numbers'!$C$4,VLOOKUP(E17,'Curve Numbers'!$A$5:$F$93,3,FALSE),IF($B$12='Curve Numbers'!$D$4,VLOOKUP(E17,'Curve Numbers'!$A$5:$F$93,4,FALSE),IF($B$12='Curve Numbers'!$E$4,VLOOKUP(E17,'Curve Numbers'!$A$5:$F$93,5,FALSE),IF($B$12='Curve Numbers'!$F$4,VLOOKUP(E17,'Curve Numbers'!$A$5:$F$93,6,FALSE),"UPDATE")))))</f>
        <v>94</v>
      </c>
      <c r="E17" s="182" t="s">
        <v>242</v>
      </c>
      <c r="F17" s="182"/>
      <c r="G17" s="182"/>
      <c r="H17" s="77"/>
      <c r="I17" s="77"/>
      <c r="W17" s="186" t="str">
        <f>IF(ISBLANK(E17),"",VLOOKUP(E17,'Curve Numbers'!$A$5:$F$93,2,FALSE))</f>
        <v>Average Impervious Area = 85%</v>
      </c>
      <c r="X17" s="187"/>
      <c r="Y17" s="187"/>
      <c r="Z17" s="187"/>
      <c r="AA17" s="187"/>
      <c r="AB17" s="187"/>
      <c r="AC17" s="187"/>
      <c r="AD17" s="187"/>
      <c r="AE17" s="187"/>
      <c r="AF17" s="187"/>
      <c r="AG17" s="187"/>
      <c r="AH17" s="187"/>
      <c r="AI17" s="188"/>
    </row>
    <row r="18" spans="1:35" x14ac:dyDescent="0.2">
      <c r="A18" s="77"/>
      <c r="B18" s="111">
        <v>1.37</v>
      </c>
      <c r="C18" s="51" t="s">
        <v>3</v>
      </c>
      <c r="D18" s="79">
        <f>IF(ISBLANK(E18),0,IF($B$12='Curve Numbers'!$C$4,VLOOKUP(E18,'Curve Numbers'!$A$5:$F$93,3,FALSE),IF($B$12='Curve Numbers'!$D$4,VLOOKUP(E18,'Curve Numbers'!$A$5:$F$93,4,FALSE),IF($B$12='Curve Numbers'!$E$4,VLOOKUP(E18,'Curve Numbers'!$A$5:$F$93,5,FALSE),IF($B$12='Curve Numbers'!$F$4,VLOOKUP(E18,'Curve Numbers'!$A$5:$F$93,6,FALSE),"UPDATE")))))</f>
        <v>80</v>
      </c>
      <c r="E18" s="182" t="s">
        <v>253</v>
      </c>
      <c r="F18" s="182"/>
      <c r="G18" s="182"/>
      <c r="H18" s="77"/>
      <c r="I18" s="77"/>
      <c r="W18" s="186" t="str">
        <f>IF(ISBLANK(E18),"",VLOOKUP(E18,'Curve Numbers'!$A$5:$F$93,2,FALSE))</f>
        <v>Average Impervious Area = 25%</v>
      </c>
      <c r="X18" s="187"/>
      <c r="Y18" s="187"/>
      <c r="Z18" s="187"/>
      <c r="AA18" s="187"/>
      <c r="AB18" s="187"/>
      <c r="AC18" s="187"/>
      <c r="AD18" s="187"/>
      <c r="AE18" s="187"/>
      <c r="AF18" s="187"/>
      <c r="AG18" s="187"/>
      <c r="AH18" s="187"/>
      <c r="AI18" s="188"/>
    </row>
    <row r="19" spans="1:35" x14ac:dyDescent="0.2">
      <c r="A19" s="77"/>
      <c r="B19" s="111">
        <v>12.44</v>
      </c>
      <c r="C19" s="51" t="s">
        <v>3</v>
      </c>
      <c r="D19" s="79">
        <f>IF(ISBLANK(E19),0,IF($B$12='Curve Numbers'!$C$4,VLOOKUP(E19,'Curve Numbers'!$A$5:$F$93,3,FALSE),IF($B$12='Curve Numbers'!$D$4,VLOOKUP(E19,'Curve Numbers'!$A$5:$F$93,4,FALSE),IF($B$12='Curve Numbers'!$E$4,VLOOKUP(E19,'Curve Numbers'!$A$5:$F$93,5,FALSE),IF($B$12='Curve Numbers'!$F$4,VLOOKUP(E19,'Curve Numbers'!$A$5:$F$93,6,FALSE),"UPDATE")))))</f>
        <v>74</v>
      </c>
      <c r="E19" s="182" t="s">
        <v>231</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80.667273140777795</v>
      </c>
    </row>
    <row r="26" spans="1:35" ht="15" x14ac:dyDescent="0.35">
      <c r="A26" s="83" t="s">
        <v>94</v>
      </c>
      <c r="B26" s="83"/>
      <c r="C26" s="83"/>
    </row>
    <row r="28" spans="1:35" ht="15" x14ac:dyDescent="0.35">
      <c r="B28" s="75" t="s">
        <v>95</v>
      </c>
      <c r="E28" s="84">
        <f>'tc-pre'!D48</f>
        <v>1.1282304558553133</v>
      </c>
      <c r="F28" s="75" t="s">
        <v>11</v>
      </c>
    </row>
    <row r="29" spans="1:35" x14ac:dyDescent="0.2">
      <c r="B29" s="75" t="s">
        <v>9</v>
      </c>
    </row>
    <row r="31" spans="1:35" x14ac:dyDescent="0.2">
      <c r="A31" s="83" t="s">
        <v>82</v>
      </c>
    </row>
    <row r="32" spans="1:35" x14ac:dyDescent="0.2">
      <c r="A32" s="97" t="s">
        <v>367</v>
      </c>
      <c r="B32" s="195" t="s">
        <v>159</v>
      </c>
      <c r="C32" s="195"/>
      <c r="D32" s="195"/>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2.396601013831642</v>
      </c>
      <c r="F43" s="75" t="s">
        <v>85</v>
      </c>
      <c r="G43" s="77"/>
    </row>
    <row r="45" spans="1:9" ht="15" x14ac:dyDescent="0.35">
      <c r="C45" s="75" t="s">
        <v>97</v>
      </c>
      <c r="E45" s="87">
        <f>0.2*E43</f>
        <v>0.47932020276632842</v>
      </c>
      <c r="F45" s="75" t="s">
        <v>85</v>
      </c>
    </row>
    <row r="46" spans="1:9" ht="12" x14ac:dyDescent="0.25">
      <c r="A46" s="76" t="str">
        <f>A2</f>
        <v>Lexington County I-20 Widening - Outfall #1</v>
      </c>
      <c r="B46" s="76"/>
      <c r="C46" s="76"/>
      <c r="D46" s="76"/>
      <c r="E46" s="76"/>
      <c r="F46" s="76"/>
      <c r="G46" s="76"/>
      <c r="H46" s="76"/>
      <c r="I46" s="76"/>
    </row>
    <row r="47" spans="1:9" s="88" customFormat="1" ht="16.5" customHeight="1" x14ac:dyDescent="0.25">
      <c r="A47" s="88">
        <f>A3</f>
        <v>0</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2.396601013831642</v>
      </c>
      <c r="E56" s="90" t="s">
        <v>22</v>
      </c>
      <c r="F56" s="91">
        <f>((C56-0.2*D56)^2)/(C56+0.8*D56)</f>
        <v>1.7651163191351114</v>
      </c>
      <c r="G56" s="75" t="s">
        <v>85</v>
      </c>
      <c r="H56" s="82"/>
    </row>
    <row r="57" spans="1:22" ht="14.25" customHeight="1" x14ac:dyDescent="0.2">
      <c r="B57" s="90">
        <v>10</v>
      </c>
      <c r="C57" s="86">
        <f>F36</f>
        <v>5.3</v>
      </c>
      <c r="D57" s="86">
        <f>$E$43</f>
        <v>2.396601013831642</v>
      </c>
      <c r="E57" s="90" t="s">
        <v>22</v>
      </c>
      <c r="F57" s="91">
        <f>((C57-0.2*D57)^2)/(C57+0.8*D57)</f>
        <v>3.2199043262703064</v>
      </c>
      <c r="G57" s="75" t="s">
        <v>85</v>
      </c>
      <c r="H57" s="82"/>
    </row>
    <row r="58" spans="1:22" x14ac:dyDescent="0.2">
      <c r="B58" s="90">
        <v>25</v>
      </c>
      <c r="C58" s="86">
        <f>F37</f>
        <v>6.4</v>
      </c>
      <c r="D58" s="86">
        <f>$E$43</f>
        <v>2.396601013831642</v>
      </c>
      <c r="E58" s="90" t="s">
        <v>22</v>
      </c>
      <c r="F58" s="91">
        <f>(C58-0.2*D58)^2/(C58+0.8*D58)</f>
        <v>4.2146526079454354</v>
      </c>
      <c r="G58" s="75" t="s">
        <v>85</v>
      </c>
      <c r="H58" s="82"/>
    </row>
    <row r="59" spans="1:22" x14ac:dyDescent="0.2">
      <c r="B59" s="90">
        <v>50</v>
      </c>
      <c r="C59" s="86">
        <f>F38</f>
        <v>7.3</v>
      </c>
      <c r="D59" s="86">
        <f>$E$43</f>
        <v>2.396601013831642</v>
      </c>
      <c r="E59" s="90" t="s">
        <v>22</v>
      </c>
      <c r="F59" s="91">
        <f>(C59-0.2*D59)^2/(C59+0.8*D59)</f>
        <v>5.0472231290319867</v>
      </c>
      <c r="G59" s="75" t="s">
        <v>85</v>
      </c>
      <c r="H59" s="82"/>
    </row>
    <row r="60" spans="1:22" x14ac:dyDescent="0.2">
      <c r="B60" s="90">
        <v>100</v>
      </c>
      <c r="C60" s="86">
        <f>F39</f>
        <v>8.3000000000000007</v>
      </c>
      <c r="D60" s="86">
        <f>$E$43</f>
        <v>2.396601013831642</v>
      </c>
      <c r="E60" s="90" t="s">
        <v>22</v>
      </c>
      <c r="F60" s="91">
        <f>(C60-0.2*D60)^2/(C60+0.8*D60)</f>
        <v>5.986233873950038</v>
      </c>
      <c r="G60" s="75" t="s">
        <v>85</v>
      </c>
      <c r="H60" s="82"/>
    </row>
    <row r="62" spans="1:22" ht="12" customHeight="1" x14ac:dyDescent="0.3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3" t="s">
        <v>126</v>
      </c>
      <c r="L64" s="193"/>
      <c r="M64" s="193"/>
      <c r="N64" s="193" t="s">
        <v>127</v>
      </c>
      <c r="O64" s="193"/>
      <c r="P64" s="193"/>
      <c r="Q64" s="193" t="s">
        <v>128</v>
      </c>
      <c r="R64" s="193"/>
      <c r="S64" s="193"/>
      <c r="T64" s="193" t="s">
        <v>129</v>
      </c>
      <c r="U64" s="193"/>
      <c r="V64" s="193"/>
    </row>
    <row r="65" spans="1:22" ht="24.6" x14ac:dyDescent="0.3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3.2" x14ac:dyDescent="0.25">
      <c r="A66" s="76"/>
      <c r="B66" s="90">
        <v>2</v>
      </c>
      <c r="C66" s="86">
        <f>F35</f>
        <v>3.6</v>
      </c>
      <c r="D66" s="86">
        <f>$E$45</f>
        <v>0.47932020276632842</v>
      </c>
      <c r="E66" s="86">
        <f>IF(D66/C66&gt;0.5,0.5,D66/C66)</f>
        <v>0.13314450076842455</v>
      </c>
      <c r="F66" s="91">
        <f>IF($A$63='Rainfall Distribution Coef.'!$K$2,10^(K66+(L66*LOG($E$28))+(M66*(LOG($E$28))^2)),IF($A$63='Rainfall Distribution Coef.'!$K$3,10^(N66+(O66*LOG($E$28))+(P66*(LOG($E$28))^2)),IF($A$63='Rainfall Distribution Coef.'!$K$4,10^(Q66+(R66*LOG($E$28))+(S66*(LOG($E$28))^2)),IF($A$63='Rainfall Distribution Coef.'!$K$5,10^(T66+(U66*LOG($E$28))+(V66*(LOG($E$28))^2)),"UPDATE"))))</f>
        <v>320.58038105010621</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2.2822557616111037</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-0.51083634301993019</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-0.10814993633322743</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1.9951395187338321</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-0.30466693214119461</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-0.11518037988300396</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2.5386613346872391</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-0.61635463265362378</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-0.15616480996765286</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2.4604275966795792</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-0.51740943262517991</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-0.16446957030253934</v>
      </c>
    </row>
    <row r="67" spans="1:22" ht="13.2" x14ac:dyDescent="0.25">
      <c r="B67" s="90">
        <v>10</v>
      </c>
      <c r="C67" s="86">
        <f>F36</f>
        <v>5.3</v>
      </c>
      <c r="D67" s="86">
        <f>$E$45</f>
        <v>0.47932020276632842</v>
      </c>
      <c r="E67" s="86">
        <f>IF(D67/C67&gt;0.5,0.5,D67/C67)</f>
        <v>9.0437774106854427E-2</v>
      </c>
      <c r="F67" s="91">
        <f>IF($A$63='Rainfall Distribution Coef.'!$K$2,10^(K67+(L67*LOG($E$28))+(M67*(LOG($E$28))^2)),IF($A$63='Rainfall Distribution Coef.'!$K$3,10^(N67+(O67*LOG($E$28))+(P67*(LOG($E$28))^2)),IF($A$63='Rainfall Distribution Coef.'!$K$4,10^(Q67+(R67*LOG($E$28))+(S67*(LOG($E$28))^2)),IF($A$63='Rainfall Distribution Coef.'!$K$5,10^(T67+(U67*LOG($E$28))+(V67*(LOG($E$28))^2)),"UPDATE"))))</f>
        <v>331.54974942745292</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2.3054999999999999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-0.51429000000000002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-0.11749999999999999</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2.0325000000000002</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-0.31583</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-0.13747999999999999</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2.5532300000000001</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-0.61512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-0.16403000000000001</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2.4731700000000001</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-0.51848000000000005</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-0.17083000000000001</v>
      </c>
    </row>
    <row r="68" spans="1:22" ht="12.75" customHeight="1" x14ac:dyDescent="0.25">
      <c r="A68" s="92"/>
      <c r="B68" s="90">
        <v>25</v>
      </c>
      <c r="C68" s="86">
        <f>F37</f>
        <v>6.4</v>
      </c>
      <c r="D68" s="86">
        <f>$E$45</f>
        <v>0.47932020276632842</v>
      </c>
      <c r="E68" s="86">
        <f>IF(D68/C68&gt;0.5,0.5,D68/C68)</f>
        <v>7.4893781682238814E-2</v>
      </c>
      <c r="F68" s="91">
        <f>IF($A$63='Rainfall Distribution Coef.'!$K$2,10^(K68+(L68*LOG($E$28))+(M68*(LOG($E$28))^2)),IF($A$63='Rainfall Distribution Coef.'!$K$3,10^(N68+(O68*LOG($E$28))+(P68*(LOG($E$28))^2)),IF($A$63='Rainfall Distribution Coef.'!$K$4,10^(Q68+(R68*LOG($E$28))+(S68*(LOG($E$28))^2)),IF($A$63='Rainfall Distribution Coef.'!$K$5,10^(T68+(U68*LOG($E$28))+(V68*(LOG($E$28))^2)),"UPDATE"))))</f>
        <v>331.54974942745292</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2.3054999999999999</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-0.51429000000000002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-0.11749999999999999</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2.0325000000000002</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-0.31583</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-0.13747999999999999</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2.5532300000000001</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-0.61512</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-0.16403000000000001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2.4731700000000001</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-0.51848000000000005</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-0.17083000000000001</v>
      </c>
    </row>
    <row r="69" spans="1:22" ht="13.2" x14ac:dyDescent="0.25">
      <c r="B69" s="90">
        <v>50</v>
      </c>
      <c r="C69" s="86">
        <f>F38</f>
        <v>7.3</v>
      </c>
      <c r="D69" s="86">
        <f>$E$45</f>
        <v>0.47932020276632842</v>
      </c>
      <c r="E69" s="86">
        <f>IF(D69/C69&gt;0.5,0.5,D69/C69)</f>
        <v>6.5660301748812114E-2</v>
      </c>
      <c r="F69" s="91">
        <f>IF($A$63='Rainfall Distribution Coef.'!$K$2,10^(K69+(L69*LOG($E$28))+(M69*(LOG($E$28))^2)),IF($A$63='Rainfall Distribution Coef.'!$K$3,10^(N69+(O69*LOG($E$28))+(P69*(LOG($E$28))^2)),IF($A$63='Rainfall Distribution Coef.'!$K$4,10^(Q69+(R69*LOG($E$28))+(S69*(LOG($E$28))^2)),IF($A$63='Rainfall Distribution Coef.'!$K$5,10^(T69+(U69*LOG($E$28))+(V69*(LOG($E$28))^2)),"UPDATE"))))</f>
        <v>331.54974942745292</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2.3054999999999999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-0.51429000000000002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-0.11749999999999999</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2.0325000000000002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-0.31583</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-0.13747999999999999</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2.5532300000000001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-0.61512</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-0.16403000000000001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2.4731700000000001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-0.51848000000000005</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-0.17083000000000001</v>
      </c>
    </row>
    <row r="70" spans="1:22" ht="13.2" x14ac:dyDescent="0.25">
      <c r="B70" s="90">
        <v>100</v>
      </c>
      <c r="C70" s="86">
        <f>F39</f>
        <v>8.3000000000000007</v>
      </c>
      <c r="D70" s="86">
        <f>$E$45</f>
        <v>0.47932020276632842</v>
      </c>
      <c r="E70" s="86">
        <f>IF(D70/C70&gt;0.5,0.5,D70/C70)</f>
        <v>5.7749422020039562E-2</v>
      </c>
      <c r="F70" s="91">
        <f>IF($A$63='Rainfall Distribution Coef.'!$K$2,10^(K70+(L70*LOG($E$28))+(M70*(LOG($E$28))^2)),IF($A$63='Rainfall Distribution Coef.'!$K$3,10^(N70+(O70*LOG($E$28))+(P70*(LOG($E$28))^2)),IF($A$63='Rainfall Distribution Coef.'!$K$4,10^(Q70+(R70*LOG($E$28))+(S70*(LOG($E$28))^2)),IF($A$63='Rainfall Distribution Coef.'!$K$5,10^(T70+(U70*LOG($E$28))+(V70*(LOG($E$28))^2)),"UPDATE"))))</f>
        <v>331.54974942745292</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5" x14ac:dyDescent="0.35">
      <c r="B74" s="172">
        <v>0</v>
      </c>
      <c r="C74" s="75" t="s">
        <v>91</v>
      </c>
      <c r="D74" s="96">
        <f>B74/D9</f>
        <v>0</v>
      </c>
      <c r="E74" s="97" t="s">
        <v>102</v>
      </c>
      <c r="F74" s="173">
        <v>1</v>
      </c>
    </row>
    <row r="76" spans="1:22" ht="13.2" x14ac:dyDescent="0.35">
      <c r="A76" s="197" t="s">
        <v>103</v>
      </c>
      <c r="B76" s="197"/>
      <c r="C76" s="197"/>
      <c r="D76" s="197"/>
      <c r="E76" s="197"/>
      <c r="F76" s="197"/>
      <c r="G76" s="197"/>
      <c r="H76" s="197"/>
      <c r="I76" s="197"/>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320.58038105010621</v>
      </c>
      <c r="D81" s="86">
        <f>$D$9/640</f>
        <v>6.8703125000000004E-2</v>
      </c>
      <c r="E81" s="91">
        <f>F56</f>
        <v>1.7651163191351114</v>
      </c>
      <c r="F81" s="99">
        <f>$F$74</f>
        <v>1</v>
      </c>
      <c r="G81" s="91">
        <f>F81*E81*D81*C81</f>
        <v>38.876464509879057</v>
      </c>
      <c r="H81" s="82" t="s">
        <v>33</v>
      </c>
    </row>
    <row r="82" spans="1:10" x14ac:dyDescent="0.2">
      <c r="B82" s="90">
        <v>10</v>
      </c>
      <c r="C82" s="91">
        <f>F67</f>
        <v>331.54974942745292</v>
      </c>
      <c r="D82" s="86">
        <f>$D$9/640</f>
        <v>6.8703125000000004E-2</v>
      </c>
      <c r="E82" s="91">
        <f>F57</f>
        <v>3.2199043262703064</v>
      </c>
      <c r="F82" s="99">
        <f>$F$74</f>
        <v>1</v>
      </c>
      <c r="G82" s="91">
        <f>F82*E82*D82*C82</f>
        <v>73.344603184775281</v>
      </c>
      <c r="H82" s="82" t="s">
        <v>33</v>
      </c>
    </row>
    <row r="83" spans="1:10" x14ac:dyDescent="0.2">
      <c r="B83" s="90">
        <v>25</v>
      </c>
      <c r="C83" s="91">
        <f>F68</f>
        <v>331.54974942745292</v>
      </c>
      <c r="D83" s="86">
        <f>$D$9/640</f>
        <v>6.8703125000000004E-2</v>
      </c>
      <c r="E83" s="91">
        <f>F58</f>
        <v>4.2146526079454354</v>
      </c>
      <c r="F83" s="99">
        <f>$F$74</f>
        <v>1</v>
      </c>
      <c r="G83" s="91">
        <f>F83*E83*D83*C83</f>
        <v>96.003480777175696</v>
      </c>
      <c r="H83" s="82" t="s">
        <v>33</v>
      </c>
    </row>
    <row r="84" spans="1:10" x14ac:dyDescent="0.2">
      <c r="B84" s="90">
        <v>50</v>
      </c>
      <c r="C84" s="91">
        <f>F69</f>
        <v>331.54974942745292</v>
      </c>
      <c r="D84" s="86">
        <f>$D$9/640</f>
        <v>6.8703125000000004E-2</v>
      </c>
      <c r="E84" s="91">
        <f>F59</f>
        <v>5.0472231290319867</v>
      </c>
      <c r="F84" s="99">
        <f>$F$74</f>
        <v>1</v>
      </c>
      <c r="G84" s="91">
        <f>F84*E84*D84*C84</f>
        <v>114.96819162098119</v>
      </c>
      <c r="H84" s="82" t="s">
        <v>33</v>
      </c>
    </row>
    <row r="85" spans="1:10" x14ac:dyDescent="0.2">
      <c r="B85" s="90">
        <v>100</v>
      </c>
      <c r="C85" s="91">
        <f>F70</f>
        <v>331.54974942745292</v>
      </c>
      <c r="D85" s="86">
        <f>$D$9/640</f>
        <v>6.8703125000000004E-2</v>
      </c>
      <c r="E85" s="91">
        <f>F60</f>
        <v>5.986233873950038</v>
      </c>
      <c r="F85" s="99">
        <f>$F$74</f>
        <v>1</v>
      </c>
      <c r="G85" s="91">
        <f>F85*E85*D85*C85</f>
        <v>136.35745151617505</v>
      </c>
      <c r="H85" s="82" t="s">
        <v>33</v>
      </c>
    </row>
    <row r="86" spans="1:10" x14ac:dyDescent="0.2">
      <c r="B86" s="90"/>
      <c r="C86" s="91"/>
      <c r="D86" s="86"/>
      <c r="E86" s="91"/>
      <c r="F86" s="99"/>
      <c r="G86" s="91"/>
      <c r="H86" s="82"/>
    </row>
    <row r="87" spans="1:10" ht="28.5" customHeight="1" x14ac:dyDescent="0.25">
      <c r="A87" s="180" t="s">
        <v>421</v>
      </c>
      <c r="B87" s="180"/>
      <c r="C87" s="180"/>
      <c r="D87" s="180"/>
      <c r="E87" s="180"/>
      <c r="F87" s="180"/>
      <c r="G87" s="180"/>
      <c r="H87" s="180"/>
      <c r="I87" s="169"/>
      <c r="J87" s="169"/>
    </row>
    <row r="88" spans="1:10" ht="13.2" x14ac:dyDescent="0.25">
      <c r="A88" s="100"/>
      <c r="B88" s="100"/>
      <c r="C88" s="100"/>
      <c r="D88" s="100"/>
      <c r="E88" s="100"/>
      <c r="F88" s="100"/>
      <c r="G88" s="100"/>
      <c r="H88" s="100"/>
      <c r="I88" s="100"/>
      <c r="J88" s="100"/>
    </row>
    <row r="89" spans="1:10" ht="12" x14ac:dyDescent="0.25">
      <c r="A89" s="76" t="str">
        <f>A46</f>
        <v>Lexington County I-20 Widening - Outfall #1</v>
      </c>
      <c r="B89" s="76"/>
      <c r="C89" s="76"/>
      <c r="D89" s="76"/>
      <c r="E89" s="76"/>
      <c r="F89" s="76"/>
      <c r="G89" s="76"/>
      <c r="H89" s="76"/>
      <c r="I89" s="76"/>
    </row>
    <row r="90" spans="1:10" s="88" customFormat="1" ht="13.5" customHeight="1" x14ac:dyDescent="0.25">
      <c r="A90" s="88">
        <f>A47</f>
        <v>0</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94" t="s">
        <v>423</v>
      </c>
      <c r="B94" s="194"/>
      <c r="C94" s="194"/>
      <c r="D94" s="194"/>
      <c r="E94" s="194"/>
      <c r="F94" s="194"/>
      <c r="G94" s="194"/>
      <c r="H94" s="194"/>
      <c r="I94" s="169"/>
      <c r="J94" s="169"/>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43.97</v>
      </c>
      <c r="E98" s="75" t="s">
        <v>114</v>
      </c>
    </row>
    <row r="99" spans="1:35" ht="12.75" customHeight="1" x14ac:dyDescent="0.2"/>
    <row r="100" spans="1:35" ht="12.75" customHeight="1" x14ac:dyDescent="0.2">
      <c r="A100" s="75" t="s">
        <v>113</v>
      </c>
      <c r="D100" s="124">
        <f>B106-B15</f>
        <v>1.3100000000000005</v>
      </c>
      <c r="E100" s="75" t="s">
        <v>115</v>
      </c>
    </row>
    <row r="101" spans="1:35" ht="12.75" customHeight="1" x14ac:dyDescent="0.2"/>
    <row r="102" spans="1:35" ht="12.75" customHeight="1" x14ac:dyDescent="0.2">
      <c r="A102" s="80" t="s">
        <v>93</v>
      </c>
      <c r="B102" s="83"/>
      <c r="C102" s="83"/>
    </row>
    <row r="103" spans="1:35" ht="12.75" customHeight="1" x14ac:dyDescent="0.2">
      <c r="A103" s="148" t="s">
        <v>361</v>
      </c>
      <c r="B103" s="143" t="s">
        <v>225</v>
      </c>
    </row>
    <row r="104" spans="1:35" ht="12.75" customHeight="1" thickBot="1" x14ac:dyDescent="0.25">
      <c r="A104" s="148"/>
    </row>
    <row r="105" spans="1:35" ht="12.75" customHeight="1" x14ac:dyDescent="0.2">
      <c r="B105" s="51" t="s">
        <v>2</v>
      </c>
      <c r="C105" s="51"/>
      <c r="D105" s="51" t="s">
        <v>79</v>
      </c>
      <c r="E105" s="192" t="s">
        <v>6</v>
      </c>
      <c r="F105" s="192"/>
      <c r="W105" s="189" t="s">
        <v>362</v>
      </c>
      <c r="X105" s="190"/>
      <c r="Y105" s="190"/>
      <c r="Z105" s="190"/>
      <c r="AA105" s="190"/>
      <c r="AB105" s="190"/>
      <c r="AC105" s="190"/>
      <c r="AD105" s="190"/>
      <c r="AE105" s="190"/>
      <c r="AF105" s="190"/>
      <c r="AG105" s="190"/>
      <c r="AH105" s="190"/>
      <c r="AI105" s="191"/>
    </row>
    <row r="106" spans="1:35" ht="12.75" customHeight="1" x14ac:dyDescent="0.2">
      <c r="B106" s="111">
        <v>6.24</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92</v>
      </c>
      <c r="E106" s="182" t="s">
        <v>235</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12.85</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70</v>
      </c>
      <c r="E107" s="182" t="s">
        <v>314</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f>B17</f>
        <v>12.38</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94</v>
      </c>
      <c r="E108" s="182" t="s">
        <v>242</v>
      </c>
      <c r="F108" s="182"/>
      <c r="G108" s="182"/>
      <c r="W108" s="186" t="str">
        <f>IF(ISBLANK(E108),"",VLOOKUP(E108,'Curve Numbers'!$A$5:$F$93,2,FALSE))</f>
        <v>Average Impervious Area = 85%</v>
      </c>
      <c r="X108" s="187"/>
      <c r="Y108" s="187"/>
      <c r="Z108" s="187"/>
      <c r="AA108" s="187"/>
      <c r="AB108" s="187"/>
      <c r="AC108" s="187"/>
      <c r="AD108" s="187"/>
      <c r="AE108" s="187"/>
      <c r="AF108" s="187"/>
      <c r="AG108" s="187"/>
      <c r="AH108" s="187"/>
      <c r="AI108" s="188"/>
    </row>
    <row r="109" spans="1:35" ht="12.75" customHeight="1" x14ac:dyDescent="0.2">
      <c r="B109" s="111">
        <v>1.37</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80</v>
      </c>
      <c r="E109" s="182" t="s">
        <v>253</v>
      </c>
      <c r="F109" s="182"/>
      <c r="G109" s="182"/>
      <c r="W109" s="186" t="str">
        <f>IF(ISBLANK(E109),"",VLOOKUP(E109,'Curve Numbers'!$A$5:$F$93,2,FALSE))</f>
        <v>Average Impervious Area = 25%</v>
      </c>
      <c r="X109" s="187"/>
      <c r="Y109" s="187"/>
      <c r="Z109" s="187"/>
      <c r="AA109" s="187"/>
      <c r="AB109" s="187"/>
      <c r="AC109" s="187"/>
      <c r="AD109" s="187"/>
      <c r="AE109" s="187"/>
      <c r="AF109" s="187"/>
      <c r="AG109" s="187"/>
      <c r="AH109" s="187"/>
      <c r="AI109" s="188"/>
    </row>
    <row r="110" spans="1:35" ht="12.75" customHeight="1" x14ac:dyDescent="0.2">
      <c r="B110" s="111">
        <v>11.13</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74</v>
      </c>
      <c r="E110" s="182" t="s">
        <v>231</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81.20354787355015</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1.1282304558553133</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6" t="str">
        <f>B32</f>
        <v>Lexington, SC</v>
      </c>
      <c r="C123" s="196"/>
      <c r="D123" s="196"/>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2.314732868041629</v>
      </c>
      <c r="F134" s="75" t="s">
        <v>85</v>
      </c>
    </row>
    <row r="136" spans="1:9" ht="15" x14ac:dyDescent="0.35">
      <c r="C136" s="75" t="s">
        <v>97</v>
      </c>
      <c r="E136" s="87">
        <f>0.2*E134</f>
        <v>0.46294657360832581</v>
      </c>
      <c r="F136" s="75" t="s">
        <v>85</v>
      </c>
    </row>
    <row r="137" spans="1:9" s="76" customFormat="1" ht="12" x14ac:dyDescent="0.25">
      <c r="A137" s="76" t="str">
        <f>A2</f>
        <v>Lexington County I-20 Widening - Outfall #1</v>
      </c>
    </row>
    <row r="138" spans="1:9" ht="12" x14ac:dyDescent="0.25">
      <c r="A138" s="101">
        <f>A3</f>
        <v>0</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2.314732868041629</v>
      </c>
      <c r="E147" s="90" t="s">
        <v>22</v>
      </c>
      <c r="F147" s="91">
        <f>((C147-0.2*D147)^2)/(C147+0.8*D147)</f>
        <v>1.8051155471894185</v>
      </c>
      <c r="G147" s="75" t="s">
        <v>85</v>
      </c>
      <c r="H147" s="82"/>
    </row>
    <row r="148" spans="1:22" x14ac:dyDescent="0.2">
      <c r="B148" s="90">
        <v>10</v>
      </c>
      <c r="C148" s="86">
        <f>F127</f>
        <v>5.3</v>
      </c>
      <c r="D148" s="86">
        <f>$E$134</f>
        <v>2.314732868041629</v>
      </c>
      <c r="E148" s="90" t="s">
        <v>22</v>
      </c>
      <c r="F148" s="91">
        <f>((C148-0.2*D148)^2)/(C148+0.8*D148)</f>
        <v>3.2715023752847445</v>
      </c>
      <c r="G148" s="75" t="s">
        <v>85</v>
      </c>
      <c r="H148" s="82"/>
    </row>
    <row r="149" spans="1:22" x14ac:dyDescent="0.2">
      <c r="B149" s="90">
        <v>25</v>
      </c>
      <c r="C149" s="86">
        <f>F128</f>
        <v>6.4</v>
      </c>
      <c r="D149" s="86">
        <f>$E$134</f>
        <v>2.314732868041629</v>
      </c>
      <c r="E149" s="90" t="s">
        <v>22</v>
      </c>
      <c r="F149" s="91">
        <f>(C149-0.2*D149)^2/(C149+0.8*D149)</f>
        <v>4.2716330901114112</v>
      </c>
      <c r="G149" s="75" t="s">
        <v>85</v>
      </c>
      <c r="H149" s="82"/>
    </row>
    <row r="150" spans="1:22" x14ac:dyDescent="0.2">
      <c r="B150" s="90">
        <v>50</v>
      </c>
      <c r="C150" s="86">
        <f>F129</f>
        <v>7.3</v>
      </c>
      <c r="D150" s="86">
        <f>$E$134</f>
        <v>2.314732868041629</v>
      </c>
      <c r="E150" s="90" t="s">
        <v>22</v>
      </c>
      <c r="F150" s="91">
        <f>(C150-0.2*D150)^2/(C150+0.8*D150)</f>
        <v>5.1077787495723737</v>
      </c>
      <c r="G150" s="75" t="s">
        <v>85</v>
      </c>
      <c r="H150" s="82"/>
    </row>
    <row r="151" spans="1:22" x14ac:dyDescent="0.2">
      <c r="B151" s="90">
        <v>100</v>
      </c>
      <c r="C151" s="86">
        <f>F130</f>
        <v>8.3000000000000007</v>
      </c>
      <c r="D151" s="86">
        <f>$E$134</f>
        <v>2.314732868041629</v>
      </c>
      <c r="E151" s="90" t="s">
        <v>22</v>
      </c>
      <c r="F151" s="91">
        <f>(C151-0.2*D151)^2/(C151+0.8*D151)</f>
        <v>6.0501082890009812</v>
      </c>
      <c r="G151" s="75" t="s">
        <v>85</v>
      </c>
      <c r="H151" s="82"/>
    </row>
    <row r="153" spans="1:22" ht="15" x14ac:dyDescent="0.3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126</v>
      </c>
      <c r="L155" s="193"/>
      <c r="M155" s="193"/>
      <c r="N155" s="193" t="s">
        <v>127</v>
      </c>
      <c r="O155" s="193"/>
      <c r="P155" s="193"/>
      <c r="Q155" s="193" t="s">
        <v>128</v>
      </c>
      <c r="R155" s="193"/>
      <c r="S155" s="193"/>
      <c r="T155" s="193" t="s">
        <v>129</v>
      </c>
      <c r="U155" s="193"/>
      <c r="V155" s="193"/>
    </row>
    <row r="156" spans="1:22" ht="24.6" x14ac:dyDescent="0.3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3.2" x14ac:dyDescent="0.25">
      <c r="A157" s="76"/>
      <c r="B157" s="90">
        <v>2</v>
      </c>
      <c r="C157" s="86">
        <f>F126</f>
        <v>3.6</v>
      </c>
      <c r="D157" s="86">
        <f>$E$136</f>
        <v>0.46294657360832581</v>
      </c>
      <c r="E157" s="86">
        <f>IF(D157/C157&gt;0.5,0.5,D157/C157)</f>
        <v>0.12859627044675717</v>
      </c>
      <c r="F157" s="91">
        <f>IF($A$63='Rainfall Distribution Coef.'!$K$2,10^(K157+(L157*LOG($E$119))+(M157*(LOG($E$119))^2)),IF($A$63='Rainfall Distribution Coef.'!$K$3,10^(N157+(O157*LOG($E$119))+(P157*(LOG($E$119))^2)),IF($A$63='Rainfall Distribution Coef.'!$K$4,10^(Q157+(R157*LOG($E$119))+(S157*(LOG($E$119))^2)),IF($A$63='Rainfall Distribution Coef.'!$K$5,10^(T157+(U157*LOG($E$119))+(V157*(LOG($E$119))^2)),"UPDATE"))))</f>
        <v>322.06388652522605</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2.285445435535689</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-0.51131026861944795</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-0.1094329921069698</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2.0002662839524157</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-0.30619877611353219</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-0.11824042924342178</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2.5406605093251282</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-0.6161852110741417</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-0.15724410502298453</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2.4621761638267441</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-0.51755634046456978</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-0.16534237570126731</v>
      </c>
    </row>
    <row r="158" spans="1:22" ht="13.2" x14ac:dyDescent="0.25">
      <c r="B158" s="90">
        <v>10</v>
      </c>
      <c r="C158" s="86">
        <f>F127</f>
        <v>5.3</v>
      </c>
      <c r="D158" s="86">
        <f>$E$136</f>
        <v>0.46294657360832581</v>
      </c>
      <c r="E158" s="86">
        <f>IF(D158/C158&gt;0.5,0.5,D158/C158)</f>
        <v>8.7348410114778452E-2</v>
      </c>
      <c r="F158" s="91">
        <f>IF($A$63='Rainfall Distribution Coef.'!$K$2,10^(K158+(L158*LOG($E$119))+(M158*(LOG($E$119))^2)),IF($A$63='Rainfall Distribution Coef.'!$K$3,10^(N158+(O158*LOG($E$119))+(P158*(LOG($E$119))^2)),IF($A$63='Rainfall Distribution Coef.'!$K$4,10^(Q158+(R158*LOG($E$119))+(S158*(LOG($E$119))^2)),IF($A$63='Rainfall Distribution Coef.'!$K$5,10^(T158+(U158*LOG($E$119))+(V158*(LOG($E$119))^2)),"UPDATE"))))</f>
        <v>331.54974942745292</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2.3054999999999999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-0.51429000000000002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-0.11749999999999999</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2.0325000000000002</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-0.31583</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-0.13747999999999999</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2.5532300000000001</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-0.61512</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-0.16403000000000001</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2.4731700000000001</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-0.51848000000000005</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-0.17083000000000001</v>
      </c>
    </row>
    <row r="159" spans="1:22" ht="13.2" x14ac:dyDescent="0.25">
      <c r="A159" s="92"/>
      <c r="B159" s="90">
        <v>25</v>
      </c>
      <c r="C159" s="86">
        <f>F128</f>
        <v>6.4</v>
      </c>
      <c r="D159" s="86">
        <f>$E$136</f>
        <v>0.46294657360832581</v>
      </c>
      <c r="E159" s="86">
        <f>IF(D159/C159&gt;0.5,0.5,D159/C159)</f>
        <v>7.2335402126300907E-2</v>
      </c>
      <c r="F159" s="91">
        <f>IF($A$63='Rainfall Distribution Coef.'!$K$2,10^(K159+(L159*LOG($E$119))+(M159*(LOG($E$119))^2)),IF($A$63='Rainfall Distribution Coef.'!$K$3,10^(N159+(O159*LOG($E$119))+(P159*(LOG($E$119))^2)),IF($A$63='Rainfall Distribution Coef.'!$K$4,10^(Q159+(R159*LOG($E$119))+(S159*(LOG($E$119))^2)),IF($A$63='Rainfall Distribution Coef.'!$K$5,10^(T159+(U159*LOG($E$119))+(V159*(LOG($E$119))^2)),"UPDATE"))))</f>
        <v>331.54974942745292</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2.3054999999999999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-0.51429000000000002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-0.11749999999999999</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2.0325000000000002</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-0.31583</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-0.13747999999999999</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2.5532300000000001</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-0.61512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-0.16403000000000001</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2.4731700000000001</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-0.51848000000000005</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-0.17083000000000001</v>
      </c>
    </row>
    <row r="160" spans="1:22" ht="13.2" x14ac:dyDescent="0.25">
      <c r="B160" s="90">
        <v>50</v>
      </c>
      <c r="C160" s="86">
        <f>F129</f>
        <v>7.3</v>
      </c>
      <c r="D160" s="86">
        <f>$E$136</f>
        <v>0.46294657360832581</v>
      </c>
      <c r="E160" s="86">
        <f>IF(D160/C160&gt;0.5,0.5,D160/C160)</f>
        <v>6.3417338850455585E-2</v>
      </c>
      <c r="F160" s="91">
        <f>IF($A$63='Rainfall Distribution Coef.'!$K$2,10^(K160+(L160*LOG($E$119))+(M160*(LOG($E$119))^2)),IF($A$63='Rainfall Distribution Coef.'!$K$3,10^(N160+(O160*LOG($E$119))+(P160*(LOG($E$119))^2)),IF($A$63='Rainfall Distribution Coef.'!$K$4,10^(Q160+(R160*LOG($E$119))+(S160*(LOG($E$119))^2)),IF($A$63='Rainfall Distribution Coef.'!$K$5,10^(T160+(U160*LOG($E$119))+(V160*(LOG($E$119))^2)),"UPDATE"))))</f>
        <v>331.54974942745292</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3.2" x14ac:dyDescent="0.25">
      <c r="B161" s="90">
        <v>100</v>
      </c>
      <c r="C161" s="86">
        <f>F130</f>
        <v>8.3000000000000007</v>
      </c>
      <c r="D161" s="86">
        <f>$E$136</f>
        <v>0.46294657360832581</v>
      </c>
      <c r="E161" s="86">
        <f>IF(D161/C161&gt;0.5,0.5,D161/C161)</f>
        <v>5.5776695615460933E-2</v>
      </c>
      <c r="F161" s="91">
        <f>IF($A$63='Rainfall Distribution Coef.'!$K$2,10^(K161+(L161*LOG($E$119))+(M161*(LOG($E$119))^2)),IF($A$63='Rainfall Distribution Coef.'!$K$3,10^(N161+(O161*LOG($E$119))+(P161*(LOG($E$119))^2)),IF($A$63='Rainfall Distribution Coef.'!$K$4,10^(Q161+(R161*LOG($E$119))+(S161*(LOG($E$119))^2)),IF($A$63='Rainfall Distribution Coef.'!$K$5,10^(T161+(U161*LOG($E$119))+(V161*(LOG($E$119))^2)),"UPDATE"))))</f>
        <v>331.54974942745292</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14">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322.06388652522605</v>
      </c>
      <c r="D172" s="86">
        <f>$D$98/640</f>
        <v>6.8703125000000004E-2</v>
      </c>
      <c r="E172" s="91">
        <f>F147</f>
        <v>1.8051155471894185</v>
      </c>
      <c r="F172" s="99">
        <f>$F$165</f>
        <v>1</v>
      </c>
      <c r="G172" s="91">
        <f>F172*E172*D172*C172</f>
        <v>39.941422483366345</v>
      </c>
      <c r="H172" s="82" t="s">
        <v>33</v>
      </c>
    </row>
    <row r="173" spans="1:22" x14ac:dyDescent="0.2">
      <c r="B173" s="90">
        <v>10</v>
      </c>
      <c r="C173" s="91">
        <f>F158</f>
        <v>331.54974942745292</v>
      </c>
      <c r="D173" s="86">
        <f>$D$98/640</f>
        <v>6.8703125000000004E-2</v>
      </c>
      <c r="E173" s="91">
        <f>F148</f>
        <v>3.2715023752847445</v>
      </c>
      <c r="F173" s="99">
        <f>$F$165</f>
        <v>1</v>
      </c>
      <c r="G173" s="91">
        <f>F173*E173*D173*C173</f>
        <v>74.519929544380545</v>
      </c>
      <c r="H173" s="82" t="s">
        <v>33</v>
      </c>
    </row>
    <row r="174" spans="1:22" x14ac:dyDescent="0.2">
      <c r="B174" s="90">
        <v>25</v>
      </c>
      <c r="C174" s="91">
        <f>F159</f>
        <v>331.54974942745292</v>
      </c>
      <c r="D174" s="86">
        <f>$D$98/640</f>
        <v>6.8703125000000004E-2</v>
      </c>
      <c r="E174" s="91">
        <f>F149</f>
        <v>4.2716330901114112</v>
      </c>
      <c r="F174" s="99">
        <f>$F$165</f>
        <v>1</v>
      </c>
      <c r="G174" s="91">
        <f>F174*E174*D174*C174</f>
        <v>97.301410911199753</v>
      </c>
      <c r="H174" s="82" t="s">
        <v>33</v>
      </c>
    </row>
    <row r="175" spans="1:22" x14ac:dyDescent="0.2">
      <c r="B175" s="90">
        <v>50</v>
      </c>
      <c r="C175" s="91">
        <f>F160</f>
        <v>331.54974942745292</v>
      </c>
      <c r="D175" s="86">
        <f>$D$98/640</f>
        <v>6.8703125000000004E-2</v>
      </c>
      <c r="E175" s="91">
        <f>F150</f>
        <v>5.1077787495723737</v>
      </c>
      <c r="F175" s="99">
        <f>$F$165</f>
        <v>1</v>
      </c>
      <c r="G175" s="91">
        <f>F175*E175*D175*C175</f>
        <v>116.34755805833342</v>
      </c>
      <c r="H175" s="82" t="s">
        <v>33</v>
      </c>
    </row>
    <row r="176" spans="1:22" x14ac:dyDescent="0.2">
      <c r="B176" s="90">
        <v>100</v>
      </c>
      <c r="C176" s="91">
        <f>F161</f>
        <v>331.54974942745292</v>
      </c>
      <c r="D176" s="86">
        <f>$D$98/640</f>
        <v>6.8703125000000004E-2</v>
      </c>
      <c r="E176" s="91">
        <f>F151</f>
        <v>6.0501082890009812</v>
      </c>
      <c r="F176" s="99">
        <f>$F$165</f>
        <v>1</v>
      </c>
      <c r="G176" s="91">
        <f>F176*E176*D176*C176</f>
        <v>137.81241512715837</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38.876464509879057</v>
      </c>
      <c r="D181" s="105">
        <f>G172</f>
        <v>39.941422483366345</v>
      </c>
      <c r="E181" s="79">
        <f>D181-C181</f>
        <v>1.0649579734872887</v>
      </c>
      <c r="F181" s="106">
        <f>E181/D181</f>
        <v>2.6662995638945804E-2</v>
      </c>
    </row>
    <row r="182" spans="1:10" x14ac:dyDescent="0.2">
      <c r="A182" s="77"/>
      <c r="B182" s="51">
        <v>10</v>
      </c>
      <c r="C182" s="105">
        <f>G82</f>
        <v>73.344603184775281</v>
      </c>
      <c r="D182" s="105">
        <f>G173</f>
        <v>74.519929544380545</v>
      </c>
      <c r="E182" s="79">
        <f>D182-C182</f>
        <v>1.1753263596052648</v>
      </c>
      <c r="F182" s="106">
        <f>E182/C182</f>
        <v>1.6024714956113316E-2</v>
      </c>
    </row>
    <row r="183" spans="1:10" x14ac:dyDescent="0.2">
      <c r="A183" s="77"/>
      <c r="B183" s="175">
        <v>25</v>
      </c>
      <c r="C183" s="105">
        <f>G83</f>
        <v>96.003480777175696</v>
      </c>
      <c r="D183" s="105">
        <f>G174</f>
        <v>97.301410911199753</v>
      </c>
      <c r="E183" s="79">
        <f t="shared" ref="E183:E185" si="0">D183-C183</f>
        <v>1.2979301340240568</v>
      </c>
      <c r="F183" s="106">
        <f t="shared" ref="F183:F185" si="1">E183/C183</f>
        <v>1.3519615367244399E-2</v>
      </c>
    </row>
    <row r="184" spans="1:10" x14ac:dyDescent="0.2">
      <c r="A184" s="77"/>
      <c r="B184" s="175">
        <v>50</v>
      </c>
      <c r="C184" s="105">
        <f>G84</f>
        <v>114.96819162098119</v>
      </c>
      <c r="D184" s="105">
        <f>G175</f>
        <v>116.34755805833342</v>
      </c>
      <c r="E184" s="79">
        <f t="shared" si="0"/>
        <v>1.3793664373522319</v>
      </c>
      <c r="F184" s="106">
        <f t="shared" si="1"/>
        <v>1.1997809288847713E-2</v>
      </c>
    </row>
    <row r="185" spans="1:10" x14ac:dyDescent="0.2">
      <c r="A185" s="77"/>
      <c r="B185" s="51">
        <v>100</v>
      </c>
      <c r="C185" s="105">
        <f>G85</f>
        <v>136.35745151617505</v>
      </c>
      <c r="D185" s="105">
        <f>G176</f>
        <v>137.81241512715837</v>
      </c>
      <c r="E185" s="79">
        <f t="shared" si="0"/>
        <v>1.4549636109833273</v>
      </c>
      <c r="F185" s="106">
        <f t="shared" si="1"/>
        <v>1.067021710075548E-2</v>
      </c>
    </row>
    <row r="186" spans="1:10" ht="69" customHeight="1" x14ac:dyDescent="0.25">
      <c r="A186" s="194" t="s">
        <v>422</v>
      </c>
      <c r="B186" s="194"/>
      <c r="C186" s="194"/>
      <c r="D186" s="194"/>
      <c r="E186" s="194"/>
      <c r="F186" s="194"/>
      <c r="G186" s="194"/>
      <c r="H186" s="194"/>
      <c r="I186" s="167"/>
      <c r="J186" s="167"/>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activeCell="D17" sqref="D17"/>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8" t="s">
        <v>413</v>
      </c>
      <c r="B1" s="198"/>
      <c r="C1" s="198"/>
      <c r="D1" s="198"/>
      <c r="E1" s="171" t="s">
        <v>415</v>
      </c>
      <c r="F1" s="3" t="s">
        <v>416</v>
      </c>
    </row>
    <row r="2" spans="1:7" x14ac:dyDescent="0.25">
      <c r="A2" s="1"/>
      <c r="B2" s="1"/>
    </row>
    <row r="3" spans="1:7" x14ac:dyDescent="0.25">
      <c r="A3" s="3" t="s">
        <v>35</v>
      </c>
      <c r="B3" s="168" t="s">
        <v>420</v>
      </c>
      <c r="D3" s="3" t="s">
        <v>36</v>
      </c>
      <c r="E3" s="4"/>
    </row>
    <row r="4" spans="1:7" x14ac:dyDescent="0.25">
      <c r="A4" s="3" t="s">
        <v>37</v>
      </c>
      <c r="B4" s="122">
        <v>16</v>
      </c>
      <c r="C4" s="4" t="str">
        <f>IF(E1="Yes","",IF(E1="No","Pre-Construction","Update"))</f>
        <v>Pre-Construction</v>
      </c>
      <c r="D4" s="3" t="s">
        <v>38</v>
      </c>
      <c r="E4" s="140" t="s">
        <v>429</v>
      </c>
    </row>
    <row r="6" spans="1:7" x14ac:dyDescent="0.25">
      <c r="A6" s="198" t="s">
        <v>39</v>
      </c>
      <c r="B6" s="198"/>
      <c r="C6" s="178" t="s">
        <v>430</v>
      </c>
      <c r="D6" s="178"/>
    </row>
    <row r="7" spans="1:7" x14ac:dyDescent="0.25">
      <c r="A7" s="198" t="s">
        <v>412</v>
      </c>
      <c r="B7" s="198"/>
      <c r="C7" s="178" t="s">
        <v>159</v>
      </c>
      <c r="D7" s="178"/>
    </row>
    <row r="9" spans="1:7" x14ac:dyDescent="0.25">
      <c r="A9" s="2" t="s">
        <v>40</v>
      </c>
    </row>
    <row r="10" spans="1:7" x14ac:dyDescent="0.25">
      <c r="A10" s="2"/>
    </row>
    <row r="11" spans="1:7" x14ac:dyDescent="0.25">
      <c r="C11" s="10" t="s">
        <v>41</v>
      </c>
      <c r="D11" s="3">
        <v>1</v>
      </c>
      <c r="E11" s="8"/>
      <c r="G11" s="8"/>
    </row>
    <row r="12" spans="1:7" x14ac:dyDescent="0.25">
      <c r="A12" s="11" t="s">
        <v>42</v>
      </c>
      <c r="D12" s="166" t="s">
        <v>80</v>
      </c>
      <c r="E12" s="8"/>
      <c r="F12" s="121"/>
      <c r="G12" s="8"/>
    </row>
    <row r="13" spans="1:7" x14ac:dyDescent="0.25">
      <c r="A13" s="11" t="s">
        <v>43</v>
      </c>
      <c r="D13" s="165">
        <f>VLOOKUP(D12,'Tc - Mannings n'!$C$5:$D$8,2,FALSE)</f>
        <v>0.8</v>
      </c>
      <c r="E13" s="8"/>
      <c r="F13" s="141">
        <v>0</v>
      </c>
      <c r="G13" s="8"/>
    </row>
    <row r="14" spans="1:7" x14ac:dyDescent="0.25">
      <c r="A14" s="11" t="s">
        <v>44</v>
      </c>
      <c r="D14" s="141">
        <v>100</v>
      </c>
      <c r="E14" s="13"/>
      <c r="F14" s="141">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41">
        <v>5.0000000000000001E-3</v>
      </c>
      <c r="E16" s="15"/>
      <c r="F16" s="141">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199" t="s">
        <v>48</v>
      </c>
      <c r="E20" s="200"/>
      <c r="F20" s="200"/>
      <c r="G20" s="200"/>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41">
        <v>825</v>
      </c>
      <c r="F25" s="141">
        <v>80</v>
      </c>
    </row>
    <row r="26" spans="1:9" x14ac:dyDescent="0.25">
      <c r="A26" s="11" t="s">
        <v>54</v>
      </c>
      <c r="D26" s="141">
        <f>15/D25</f>
        <v>1.8181818181818181E-2</v>
      </c>
      <c r="E26" s="21"/>
      <c r="F26" s="141">
        <f>2/F25</f>
        <v>2.5000000000000001E-2</v>
      </c>
      <c r="G26" s="21"/>
      <c r="H26" s="21"/>
      <c r="I26" s="21"/>
    </row>
    <row r="27" spans="1:9" x14ac:dyDescent="0.25">
      <c r="A27" s="11" t="s">
        <v>55</v>
      </c>
      <c r="D27" s="12">
        <f>(16.1345*(D26^0.5))</f>
        <v>2.1755755361826359</v>
      </c>
      <c r="E27" s="5"/>
      <c r="F27" s="12">
        <f>(20.3282*(F26^0.5))</f>
        <v>3.2141706365717422</v>
      </c>
      <c r="G27" s="5"/>
    </row>
    <row r="28" spans="1:9" x14ac:dyDescent="0.25">
      <c r="A28" s="11"/>
      <c r="D28" s="12"/>
      <c r="E28" s="17"/>
      <c r="F28" s="12"/>
      <c r="G28" s="17"/>
    </row>
    <row r="29" spans="1:9" x14ac:dyDescent="0.25">
      <c r="A29" s="11" t="s">
        <v>56</v>
      </c>
      <c r="D29" s="12">
        <f>(D25)/((3600*(D27)))</f>
        <v>0.10533611122911088</v>
      </c>
      <c r="E29" s="17"/>
      <c r="F29" s="12">
        <f>(F25)/((3600*(F27)))</f>
        <v>6.9138277754676415E-3</v>
      </c>
      <c r="G29" s="17"/>
    </row>
    <row r="30" spans="1:9" x14ac:dyDescent="0.25">
      <c r="D30" s="17"/>
      <c r="E30" s="17"/>
      <c r="F30" s="17"/>
      <c r="G30" s="17"/>
    </row>
    <row r="31" spans="1:9" x14ac:dyDescent="0.25">
      <c r="D31" s="199" t="s">
        <v>57</v>
      </c>
      <c r="E31" s="200"/>
      <c r="F31" s="200"/>
      <c r="G31" s="200"/>
      <c r="H31" s="22">
        <f>D29</f>
        <v>0.10533611122911088</v>
      </c>
    </row>
    <row r="32" spans="1:9" x14ac:dyDescent="0.25">
      <c r="A32" s="23" t="s">
        <v>58</v>
      </c>
    </row>
    <row r="33" spans="1:8" x14ac:dyDescent="0.25">
      <c r="A33" s="2"/>
    </row>
    <row r="34" spans="1:8" x14ac:dyDescent="0.25">
      <c r="A34" s="2"/>
      <c r="C34" s="10" t="s">
        <v>41</v>
      </c>
    </row>
    <row r="35" spans="1:8" ht="13.8" x14ac:dyDescent="0.25">
      <c r="A35" s="12" t="s">
        <v>59</v>
      </c>
      <c r="D35" s="141">
        <v>1E-4</v>
      </c>
      <c r="F35" s="141">
        <v>9.9999999999999994E-12</v>
      </c>
    </row>
    <row r="36" spans="1:8" x14ac:dyDescent="0.25">
      <c r="A36" s="12" t="s">
        <v>60</v>
      </c>
      <c r="D36" s="141">
        <v>1.0000000000000001E-5</v>
      </c>
      <c r="F36" s="141">
        <v>1E-4</v>
      </c>
    </row>
    <row r="37" spans="1:8" x14ac:dyDescent="0.25">
      <c r="A37" s="12" t="s">
        <v>61</v>
      </c>
      <c r="D37" s="12">
        <f>D35/D36</f>
        <v>10</v>
      </c>
      <c r="E37" s="17"/>
      <c r="F37" s="12">
        <f>F35/F36</f>
        <v>9.9999999999999995E-8</v>
      </c>
    </row>
    <row r="38" spans="1:8" x14ac:dyDescent="0.25">
      <c r="A38" s="12" t="s">
        <v>62</v>
      </c>
      <c r="D38" s="141">
        <v>1.0000000000000001E-9</v>
      </c>
      <c r="E38" s="21"/>
      <c r="F38" s="141">
        <v>9.9999999999999995E-7</v>
      </c>
      <c r="G38" s="21"/>
    </row>
    <row r="39" spans="1:8" x14ac:dyDescent="0.25">
      <c r="A39" s="12" t="s">
        <v>63</v>
      </c>
      <c r="D39" s="141">
        <v>0.1</v>
      </c>
      <c r="E39" s="5" t="s">
        <v>64</v>
      </c>
      <c r="F39" s="141">
        <v>1E-4</v>
      </c>
      <c r="G39" s="5"/>
    </row>
    <row r="40" spans="1:8" x14ac:dyDescent="0.25">
      <c r="A40" s="12" t="s">
        <v>65</v>
      </c>
      <c r="D40" s="12">
        <f>1.49*D37^(2/3)*D38^(1/2)/D39</f>
        <v>2.1870209087568836E-3</v>
      </c>
      <c r="E40" s="5"/>
      <c r="F40" s="12">
        <f>1.49*F37^(2/3)*F38^(1/2)/F39</f>
        <v>3.2101076881475095E-4</v>
      </c>
      <c r="G40" s="5"/>
    </row>
    <row r="41" spans="1:8" x14ac:dyDescent="0.25">
      <c r="A41" s="12" t="s">
        <v>66</v>
      </c>
      <c r="D41" s="141">
        <v>0</v>
      </c>
      <c r="E41" s="5"/>
      <c r="F41" s="141">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199" t="s">
        <v>68</v>
      </c>
      <c r="E45" s="200"/>
      <c r="F45" s="200"/>
      <c r="G45" s="200"/>
      <c r="H45" s="18">
        <f>D43+F43</f>
        <v>0</v>
      </c>
    </row>
    <row r="46" spans="1:8" x14ac:dyDescent="0.25">
      <c r="D46" s="25"/>
      <c r="E46" s="26"/>
      <c r="F46" s="25"/>
      <c r="G46" s="25"/>
    </row>
    <row r="48" spans="1:8" x14ac:dyDescent="0.25">
      <c r="B48" s="1" t="s">
        <v>69</v>
      </c>
      <c r="C48" s="1"/>
      <c r="D48" s="27">
        <f>H45+H20+H31</f>
        <v>1.1282304558553133</v>
      </c>
      <c r="E48" s="1" t="s">
        <v>70</v>
      </c>
      <c r="F48" s="27">
        <f>D48*60</f>
        <v>67.693827351318802</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D16" sqref="D16"/>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4" t="s">
        <v>420</v>
      </c>
      <c r="D2" s="3" t="s">
        <v>36</v>
      </c>
      <c r="E2" s="4"/>
    </row>
    <row r="3" spans="1:7" x14ac:dyDescent="0.25">
      <c r="A3" s="3" t="s">
        <v>37</v>
      </c>
      <c r="B3" s="122">
        <v>16</v>
      </c>
      <c r="C3" s="3" t="s">
        <v>112</v>
      </c>
      <c r="D3" s="3" t="s">
        <v>38</v>
      </c>
      <c r="E3" s="140" t="s">
        <v>429</v>
      </c>
    </row>
    <row r="5" spans="1:7" x14ac:dyDescent="0.25">
      <c r="A5" s="198" t="s">
        <v>39</v>
      </c>
      <c r="B5" s="198"/>
      <c r="C5" s="178" t="s">
        <v>430</v>
      </c>
      <c r="D5" s="178"/>
    </row>
    <row r="6" spans="1:7" x14ac:dyDescent="0.25">
      <c r="A6" s="198" t="s">
        <v>412</v>
      </c>
      <c r="B6" s="198"/>
      <c r="C6" s="177" t="str">
        <f>'tc-pre'!C7:D7</f>
        <v>Lexington, SC</v>
      </c>
      <c r="D6" s="177"/>
    </row>
    <row r="8" spans="1:7" x14ac:dyDescent="0.25">
      <c r="A8" s="2" t="s">
        <v>40</v>
      </c>
    </row>
    <row r="9" spans="1:7" x14ac:dyDescent="0.25">
      <c r="A9" s="2"/>
    </row>
    <row r="10" spans="1:7" x14ac:dyDescent="0.25">
      <c r="C10" s="10" t="s">
        <v>41</v>
      </c>
      <c r="D10" s="3">
        <v>1</v>
      </c>
      <c r="E10" s="8"/>
      <c r="G10" s="8"/>
    </row>
    <row r="11" spans="1:7" x14ac:dyDescent="0.25">
      <c r="A11" s="11" t="s">
        <v>42</v>
      </c>
      <c r="D11" s="166" t="s">
        <v>80</v>
      </c>
      <c r="E11" s="8"/>
      <c r="G11" s="8"/>
    </row>
    <row r="12" spans="1:7" x14ac:dyDescent="0.25">
      <c r="A12" s="11" t="s">
        <v>43</v>
      </c>
      <c r="D12" s="165">
        <f>VLOOKUP(D11,'Tc - Mannings n'!$C$5:$D$8,2,FALSE)</f>
        <v>0.8</v>
      </c>
      <c r="E12" s="8"/>
      <c r="F12" s="141">
        <v>0</v>
      </c>
      <c r="G12" s="8"/>
    </row>
    <row r="13" spans="1:7" x14ac:dyDescent="0.25">
      <c r="A13" s="11" t="s">
        <v>44</v>
      </c>
      <c r="D13" s="141">
        <v>100</v>
      </c>
      <c r="E13" s="13"/>
      <c r="F13" s="141">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41">
        <v>5.0000000000000001E-3</v>
      </c>
      <c r="E15" s="15"/>
      <c r="F15" s="141">
        <v>9.9999999999999995E-7</v>
      </c>
      <c r="G15" s="15"/>
    </row>
    <row r="16" spans="1:7" x14ac:dyDescent="0.25">
      <c r="A16" s="11"/>
      <c r="D16" s="11"/>
      <c r="E16" s="16"/>
      <c r="F16" s="11"/>
      <c r="G16" s="16"/>
    </row>
    <row r="17" spans="1:9" x14ac:dyDescent="0.25">
      <c r="A17" s="11" t="s">
        <v>47</v>
      </c>
      <c r="D17" s="12">
        <f>((0.007*(D12*D13)^0.8)/(((D14)^0.5)*((D15)^0.4)))</f>
        <v>1.0228943446262024</v>
      </c>
      <c r="E17" s="16"/>
      <c r="F17" s="12">
        <f>((0.007*(F12*F13)^0.8)/(((F14)^0.5)*((F15)^0.4)))</f>
        <v>0</v>
      </c>
      <c r="G17" s="16"/>
    </row>
    <row r="18" spans="1:9" x14ac:dyDescent="0.25">
      <c r="D18" s="17"/>
      <c r="E18" s="16"/>
      <c r="F18" s="17"/>
      <c r="G18" s="16"/>
    </row>
    <row r="19" spans="1:9" x14ac:dyDescent="0.25">
      <c r="D19" s="199" t="s">
        <v>48</v>
      </c>
      <c r="E19" s="200"/>
      <c r="F19" s="200"/>
      <c r="G19" s="200"/>
      <c r="H19" s="18">
        <f>D17+F17</f>
        <v>1.0228943446262024</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41">
        <v>825</v>
      </c>
      <c r="F24" s="141">
        <v>115</v>
      </c>
    </row>
    <row r="25" spans="1:9" x14ac:dyDescent="0.25">
      <c r="A25" s="11" t="s">
        <v>54</v>
      </c>
      <c r="D25" s="141">
        <f>15/D24</f>
        <v>1.8181818181818181E-2</v>
      </c>
      <c r="E25" s="21"/>
      <c r="F25" s="141">
        <f>2/F24</f>
        <v>1.7391304347826087E-2</v>
      </c>
      <c r="G25" s="21"/>
      <c r="H25" s="21"/>
      <c r="I25" s="21"/>
    </row>
    <row r="26" spans="1:9" x14ac:dyDescent="0.25">
      <c r="A26" s="11" t="s">
        <v>55</v>
      </c>
      <c r="D26" s="12">
        <f>(16.1345*(D25^0.5))</f>
        <v>2.1755755361826359</v>
      </c>
      <c r="E26" s="5"/>
      <c r="F26" s="12">
        <f>(20.3282*(F25^0.5))</f>
        <v>2.6808036278568474</v>
      </c>
      <c r="G26" s="5"/>
    </row>
    <row r="27" spans="1:9" x14ac:dyDescent="0.25">
      <c r="A27" s="11"/>
      <c r="D27" s="12"/>
      <c r="E27" s="17"/>
      <c r="F27" s="12"/>
      <c r="G27" s="17"/>
    </row>
    <row r="28" spans="1:9" x14ac:dyDescent="0.25">
      <c r="A28" s="11" t="s">
        <v>56</v>
      </c>
      <c r="D28" s="12">
        <f>(D24)/((3600*(D26)))</f>
        <v>0.10533611122911088</v>
      </c>
      <c r="E28" s="17"/>
      <c r="F28" s="12">
        <f>(F24)/((3600*(F26)))</f>
        <v>1.1915995678498183E-2</v>
      </c>
      <c r="G28" s="17"/>
    </row>
    <row r="29" spans="1:9" x14ac:dyDescent="0.25">
      <c r="D29" s="17"/>
      <c r="E29" s="17"/>
      <c r="F29" s="17"/>
      <c r="G29" s="17"/>
    </row>
    <row r="30" spans="1:9" x14ac:dyDescent="0.25">
      <c r="D30" s="199" t="s">
        <v>57</v>
      </c>
      <c r="E30" s="200"/>
      <c r="F30" s="200"/>
      <c r="G30" s="200"/>
      <c r="H30" s="22">
        <f>D28</f>
        <v>0.10533611122911088</v>
      </c>
    </row>
    <row r="31" spans="1:9" x14ac:dyDescent="0.25">
      <c r="A31" s="23" t="s">
        <v>58</v>
      </c>
    </row>
    <row r="32" spans="1:9" x14ac:dyDescent="0.25">
      <c r="A32" s="2"/>
    </row>
    <row r="33" spans="1:8" x14ac:dyDescent="0.25">
      <c r="A33" s="2"/>
      <c r="C33" s="10" t="s">
        <v>41</v>
      </c>
    </row>
    <row r="34" spans="1:8" ht="13.8" x14ac:dyDescent="0.25">
      <c r="A34" s="12" t="s">
        <v>59</v>
      </c>
      <c r="D34" s="141">
        <v>1E-4</v>
      </c>
      <c r="F34" s="141">
        <v>9.9999999999999994E-12</v>
      </c>
    </row>
    <row r="35" spans="1:8" x14ac:dyDescent="0.25">
      <c r="A35" s="12" t="s">
        <v>60</v>
      </c>
      <c r="D35" s="141">
        <v>1.0000000000000001E-5</v>
      </c>
      <c r="F35" s="141">
        <v>1E-4</v>
      </c>
    </row>
    <row r="36" spans="1:8" x14ac:dyDescent="0.25">
      <c r="A36" s="12" t="s">
        <v>61</v>
      </c>
      <c r="D36" s="12">
        <f>D34/D35</f>
        <v>10</v>
      </c>
      <c r="E36" s="17"/>
      <c r="F36" s="12">
        <f>F34/F35</f>
        <v>9.9999999999999995E-8</v>
      </c>
    </row>
    <row r="37" spans="1:8" x14ac:dyDescent="0.25">
      <c r="A37" s="12" t="s">
        <v>62</v>
      </c>
      <c r="D37" s="141">
        <v>1.0000000000000001E-9</v>
      </c>
      <c r="E37" s="21"/>
      <c r="F37" s="141">
        <v>9.9999999999999995E-7</v>
      </c>
      <c r="G37" s="21"/>
    </row>
    <row r="38" spans="1:8" x14ac:dyDescent="0.25">
      <c r="A38" s="12" t="s">
        <v>63</v>
      </c>
      <c r="D38" s="141">
        <v>9.9999999999999995E-7</v>
      </c>
      <c r="E38" s="5" t="s">
        <v>64</v>
      </c>
      <c r="F38" s="141">
        <v>1E-4</v>
      </c>
      <c r="G38" s="5"/>
    </row>
    <row r="39" spans="1:8" x14ac:dyDescent="0.25">
      <c r="A39" s="12" t="s">
        <v>65</v>
      </c>
      <c r="D39" s="12">
        <f>1.49*D36^(2/3)*D37^(1/2)/D38</f>
        <v>218.70209087568838</v>
      </c>
      <c r="E39" s="5"/>
      <c r="F39" s="12">
        <f>1.49*F36^(2/3)*F37^(1/2)/F38</f>
        <v>3.2101076881475095E-4</v>
      </c>
      <c r="G39" s="5"/>
    </row>
    <row r="40" spans="1:8" x14ac:dyDescent="0.25">
      <c r="A40" s="12" t="s">
        <v>66</v>
      </c>
      <c r="D40" s="141">
        <v>0</v>
      </c>
      <c r="E40" s="5"/>
      <c r="F40" s="141">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199" t="s">
        <v>68</v>
      </c>
      <c r="E44" s="200"/>
      <c r="F44" s="200"/>
      <c r="G44" s="200"/>
      <c r="H44" s="18">
        <f>D42+F42</f>
        <v>0</v>
      </c>
    </row>
    <row r="45" spans="1:8" x14ac:dyDescent="0.25">
      <c r="D45" s="25"/>
      <c r="E45" s="26"/>
      <c r="F45" s="25"/>
      <c r="G45" s="25"/>
    </row>
    <row r="47" spans="1:8" x14ac:dyDescent="0.25">
      <c r="B47" s="1" t="s">
        <v>69</v>
      </c>
      <c r="C47" s="1"/>
      <c r="D47" s="27">
        <f>IF('tc-pre'!E1="Yes",'tc-pre'!D48,H44+H19+H30)</f>
        <v>1.1282304558553133</v>
      </c>
      <c r="E47" s="1" t="s">
        <v>70</v>
      </c>
      <c r="F47" s="27">
        <f>D47*60</f>
        <v>67.693827351318802</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1.969844380264391</v>
      </c>
      <c r="H9" s="9">
        <f t="shared" ref="H9:H14" si="1">B9/(C9+$D$5)^D9</f>
        <v>1.969844380264391</v>
      </c>
      <c r="J9" s="29"/>
      <c r="K9" s="29"/>
      <c r="L9" s="30"/>
    </row>
    <row r="10" spans="1:12" x14ac:dyDescent="0.25">
      <c r="A10" s="31">
        <v>5</v>
      </c>
      <c r="B10" s="34">
        <v>255.24329</v>
      </c>
      <c r="C10" s="30">
        <v>33.254809999999999</v>
      </c>
      <c r="D10" s="30">
        <v>1.0208900000000001</v>
      </c>
      <c r="E10" s="29"/>
      <c r="F10" s="29"/>
      <c r="G10" s="9">
        <f t="shared" si="0"/>
        <v>2.2960863367405087</v>
      </c>
      <c r="H10" s="9">
        <f t="shared" si="1"/>
        <v>2.2960863367405087</v>
      </c>
      <c r="J10" s="29"/>
      <c r="K10" s="29"/>
      <c r="L10" s="30"/>
    </row>
    <row r="11" spans="1:12" x14ac:dyDescent="0.25">
      <c r="A11" s="31">
        <v>10</v>
      </c>
      <c r="B11" s="34">
        <v>265.24779999999998</v>
      </c>
      <c r="C11" s="30">
        <v>31.742000000000001</v>
      </c>
      <c r="D11" s="30">
        <v>1.0112399999999999</v>
      </c>
      <c r="E11" s="29"/>
      <c r="F11" s="29"/>
      <c r="G11" s="35">
        <f t="shared" si="0"/>
        <v>2.5331243915848183</v>
      </c>
      <c r="H11" s="118">
        <f t="shared" si="1"/>
        <v>2.5331243915848183</v>
      </c>
      <c r="J11" s="29"/>
      <c r="K11" s="29"/>
      <c r="L11" s="30"/>
    </row>
    <row r="12" spans="1:12" x14ac:dyDescent="0.25">
      <c r="A12" s="31">
        <v>25</v>
      </c>
      <c r="B12" s="34">
        <v>278.52156000000002</v>
      </c>
      <c r="C12" s="30">
        <v>29.775359999999999</v>
      </c>
      <c r="D12" s="30">
        <v>0.99855000000000005</v>
      </c>
      <c r="E12" s="29"/>
      <c r="F12" s="29"/>
      <c r="G12" s="9">
        <f t="shared" si="0"/>
        <v>2.876572547732124</v>
      </c>
      <c r="H12" s="9">
        <f t="shared" si="1"/>
        <v>2.876572547732124</v>
      </c>
      <c r="J12" s="29"/>
      <c r="K12" s="29"/>
      <c r="L12" s="30"/>
    </row>
    <row r="13" spans="1:12" x14ac:dyDescent="0.25">
      <c r="A13" s="31">
        <v>50</v>
      </c>
      <c r="B13" s="34">
        <v>287.81452999999999</v>
      </c>
      <c r="C13" s="30">
        <v>28.396049999999999</v>
      </c>
      <c r="D13" s="30">
        <v>0.98965999999999998</v>
      </c>
      <c r="E13" s="29"/>
      <c r="F13" s="29"/>
      <c r="G13" s="9">
        <f t="shared" si="0"/>
        <v>3.1400456563207446</v>
      </c>
      <c r="H13" s="9">
        <f t="shared" si="1"/>
        <v>3.1400456563207446</v>
      </c>
    </row>
    <row r="14" spans="1:12" x14ac:dyDescent="0.25">
      <c r="A14" s="31">
        <v>100</v>
      </c>
      <c r="B14" s="34">
        <v>295.99399</v>
      </c>
      <c r="C14" s="30">
        <v>27.15249</v>
      </c>
      <c r="D14" s="30">
        <v>0.98175999999999997</v>
      </c>
      <c r="E14" s="29"/>
      <c r="F14" s="29"/>
      <c r="G14" s="9">
        <f t="shared" si="0"/>
        <v>3.3909647367057834</v>
      </c>
      <c r="H14" s="9">
        <f t="shared" si="1"/>
        <v>3.3909647367057834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2.056640640567398</v>
      </c>
      <c r="H9" s="9">
        <f t="shared" ref="H9:H14" si="1">B9/(C9+$D$5)^D9</f>
        <v>2.056640640567398</v>
      </c>
      <c r="J9" s="29"/>
      <c r="K9" s="29"/>
      <c r="L9" s="30"/>
    </row>
    <row r="10" spans="1:12" x14ac:dyDescent="0.25">
      <c r="A10" s="31">
        <v>5</v>
      </c>
      <c r="B10" s="34">
        <v>257.69540999999998</v>
      </c>
      <c r="C10" s="30">
        <v>32.880209999999998</v>
      </c>
      <c r="D10" s="30">
        <v>1.01851</v>
      </c>
      <c r="E10" s="29"/>
      <c r="F10" s="29"/>
      <c r="G10" s="9">
        <f t="shared" si="0"/>
        <v>2.3526362528079714</v>
      </c>
      <c r="H10" s="9">
        <f t="shared" si="1"/>
        <v>2.3526362528079714</v>
      </c>
      <c r="J10" s="29"/>
      <c r="K10" s="29"/>
      <c r="L10" s="30"/>
    </row>
    <row r="11" spans="1:12" x14ac:dyDescent="0.25">
      <c r="A11" s="31">
        <v>10</v>
      </c>
      <c r="B11" s="34">
        <v>266.94598999999999</v>
      </c>
      <c r="C11" s="30">
        <v>31.48667</v>
      </c>
      <c r="D11" s="30">
        <v>1.0096099999999999</v>
      </c>
      <c r="E11" s="29"/>
      <c r="F11" s="29"/>
      <c r="G11" s="35">
        <f t="shared" si="0"/>
        <v>2.5752029609594542</v>
      </c>
      <c r="H11" s="118">
        <f t="shared" si="1"/>
        <v>2.5752029609594542</v>
      </c>
      <c r="J11" s="29"/>
      <c r="K11" s="29"/>
      <c r="L11" s="30"/>
    </row>
    <row r="12" spans="1:12" x14ac:dyDescent="0.25">
      <c r="A12" s="31">
        <v>25</v>
      </c>
      <c r="B12" s="34">
        <v>279.19853000000001</v>
      </c>
      <c r="C12" s="30">
        <v>29.675370000000001</v>
      </c>
      <c r="D12" s="30">
        <v>0.99790000000000001</v>
      </c>
      <c r="E12" s="29"/>
      <c r="F12" s="29"/>
      <c r="G12" s="9">
        <f t="shared" si="0"/>
        <v>2.8951243543544032</v>
      </c>
      <c r="H12" s="9">
        <f t="shared" si="1"/>
        <v>2.8951243543544032</v>
      </c>
      <c r="J12" s="29"/>
      <c r="K12" s="29"/>
      <c r="L12" s="30"/>
    </row>
    <row r="13" spans="1:12" x14ac:dyDescent="0.25">
      <c r="A13" s="31">
        <v>50</v>
      </c>
      <c r="B13" s="34">
        <v>287.71203000000003</v>
      </c>
      <c r="C13" s="30">
        <v>28.41133</v>
      </c>
      <c r="D13" s="30">
        <v>0.98975000000000002</v>
      </c>
      <c r="E13" s="29"/>
      <c r="F13" s="29"/>
      <c r="G13" s="9">
        <f t="shared" si="0"/>
        <v>3.137144193565244</v>
      </c>
      <c r="H13" s="9">
        <f t="shared" si="1"/>
        <v>3.137144193565244</v>
      </c>
    </row>
    <row r="14" spans="1:12" x14ac:dyDescent="0.25">
      <c r="A14" s="31">
        <v>100</v>
      </c>
      <c r="B14" s="34">
        <v>295.76549999999997</v>
      </c>
      <c r="C14" s="30">
        <v>27.18778</v>
      </c>
      <c r="D14" s="30">
        <v>0.98197999999999996</v>
      </c>
      <c r="E14" s="29"/>
      <c r="F14" s="29"/>
      <c r="G14" s="9">
        <f t="shared" si="0"/>
        <v>3.3837190829563224</v>
      </c>
      <c r="H14" s="9">
        <f t="shared" si="1"/>
        <v>3.3837190829563224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67.693827351318802</v>
      </c>
      <c r="E4" s="29" t="s">
        <v>137</v>
      </c>
      <c r="F4" s="29"/>
      <c r="G4" s="29"/>
      <c r="H4" s="29"/>
      <c r="J4" s="201"/>
      <c r="K4" s="201"/>
      <c r="L4" s="201"/>
    </row>
    <row r="5" spans="1:12" x14ac:dyDescent="0.25">
      <c r="A5" s="205" t="s">
        <v>138</v>
      </c>
      <c r="B5" s="206"/>
      <c r="C5" s="206"/>
      <c r="D5" s="117">
        <f>'tc-post'!F47</f>
        <v>67.693827351318802</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1.949066640739624</v>
      </c>
      <c r="H9" s="9">
        <f t="shared" ref="H9:H14" si="1">B9/(C9+$D$5)^D9</f>
        <v>1.949066640739624</v>
      </c>
      <c r="J9" s="29"/>
      <c r="K9" s="29"/>
      <c r="L9" s="30"/>
    </row>
    <row r="10" spans="1:12" x14ac:dyDescent="0.25">
      <c r="A10" s="31">
        <v>5</v>
      </c>
      <c r="B10" s="34">
        <v>254.34352000000001</v>
      </c>
      <c r="C10" s="30">
        <v>33.392789999999998</v>
      </c>
      <c r="D10" s="30">
        <v>1.02176</v>
      </c>
      <c r="E10" s="29"/>
      <c r="F10" s="29"/>
      <c r="G10" s="9">
        <f t="shared" si="0"/>
        <v>2.2756469181687446</v>
      </c>
      <c r="H10" s="9">
        <f t="shared" si="1"/>
        <v>2.2756469181687446</v>
      </c>
      <c r="J10" s="29"/>
      <c r="K10" s="29"/>
      <c r="L10" s="30"/>
    </row>
    <row r="11" spans="1:12" x14ac:dyDescent="0.25">
      <c r="A11" s="31">
        <v>10</v>
      </c>
      <c r="B11" s="34">
        <v>264.4948</v>
      </c>
      <c r="C11" s="30">
        <v>31.854520000000001</v>
      </c>
      <c r="D11" s="30">
        <v>1.01196</v>
      </c>
      <c r="E11" s="29"/>
      <c r="F11" s="29"/>
      <c r="G11" s="35">
        <f t="shared" si="0"/>
        <v>2.5147024006192562</v>
      </c>
      <c r="H11" s="118">
        <f t="shared" si="1"/>
        <v>2.5147024006192562</v>
      </c>
      <c r="J11" s="29"/>
      <c r="K11" s="29"/>
      <c r="L11" s="30"/>
    </row>
    <row r="12" spans="1:12" x14ac:dyDescent="0.25">
      <c r="A12" s="31">
        <v>25</v>
      </c>
      <c r="B12" s="34">
        <v>277.53223000000003</v>
      </c>
      <c r="C12" s="30">
        <v>29.921430000000001</v>
      </c>
      <c r="D12" s="30">
        <v>0.99948999999999999</v>
      </c>
      <c r="E12" s="29"/>
      <c r="F12" s="29"/>
      <c r="G12" s="9">
        <f t="shared" si="0"/>
        <v>2.8497737105047851</v>
      </c>
      <c r="H12" s="9">
        <f t="shared" si="1"/>
        <v>2.8497737105047851</v>
      </c>
      <c r="J12" s="29"/>
      <c r="K12" s="29"/>
      <c r="L12" s="30"/>
    </row>
    <row r="13" spans="1:12" x14ac:dyDescent="0.25">
      <c r="A13" s="31">
        <v>50</v>
      </c>
      <c r="B13" s="34">
        <v>286.92505999999997</v>
      </c>
      <c r="C13" s="30">
        <v>28.528970000000001</v>
      </c>
      <c r="D13" s="30">
        <v>0.99051</v>
      </c>
      <c r="E13" s="29"/>
      <c r="F13" s="29"/>
      <c r="G13" s="9">
        <f t="shared" si="0"/>
        <v>3.113951260782025</v>
      </c>
      <c r="H13" s="9">
        <f t="shared" si="1"/>
        <v>3.113951260782025</v>
      </c>
    </row>
    <row r="14" spans="1:12" x14ac:dyDescent="0.25">
      <c r="A14" s="31">
        <v>100</v>
      </c>
      <c r="B14" s="34">
        <v>295.10935000000001</v>
      </c>
      <c r="C14" s="30">
        <v>27.28867</v>
      </c>
      <c r="D14" s="30">
        <v>0.98262000000000005</v>
      </c>
      <c r="E14" s="29"/>
      <c r="F14" s="29"/>
      <c r="G14" s="9">
        <f t="shared" si="0"/>
        <v>3.3628758223802535</v>
      </c>
      <c r="H14" s="9">
        <f t="shared" si="1"/>
        <v>3.3628758223802535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2015-09-01T12:02:27Z</dcterms:modified>
</cp:coreProperties>
</file>